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z/ecviLCPdtHp0b2JGJ7iZWgpRcs/odAgE87u7YdDmoyJvYb56i/lUPU3LFYfoRb7F8av5Ky8fbm0Ojw+I6yEQ==" workbookSaltValue="LUlqLaG2nnfPSzGx2vdAP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F18" i="17" s="1"/>
  <c r="AQ18" i="17" s="1"/>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BG16" i="8" s="1"/>
  <c r="K16" i="7" s="1"/>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F16" i="8" s="1"/>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H12" i="2" s="1"/>
  <c r="A13" i="2"/>
  <c r="B13" i="2"/>
  <c r="F13" i="2" s="1"/>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BD11" i="13"/>
  <c r="BF18" i="8"/>
  <c r="AN21" i="13"/>
  <c r="D20" i="12"/>
  <c r="ER21" i="8"/>
  <c r="N19" i="11"/>
  <c r="AE14" i="21"/>
  <c r="AL16" i="11"/>
  <c r="EL21" i="8"/>
  <c r="EQ21" i="8"/>
  <c r="EN21" i="8"/>
  <c r="K20" i="11"/>
  <c r="BA14" i="16"/>
  <c r="N10" i="11"/>
  <c r="N9" i="11"/>
  <c r="D17" i="2"/>
  <c r="ES21" i="8"/>
  <c r="G20" i="12"/>
  <c r="AQ19" i="11"/>
  <c r="R8" i="9"/>
  <c r="X12" i="21" s="1"/>
  <c r="AK21" i="8"/>
  <c r="EP21" i="8"/>
  <c r="ER21" i="13"/>
  <c r="AL14" i="16"/>
  <c r="EP21" i="19"/>
  <c r="T9" i="11"/>
  <c r="BF11" i="11"/>
  <c r="BH11" i="16"/>
  <c r="V16" i="11"/>
  <c r="BF13" i="11"/>
  <c r="BJ18" i="11"/>
  <c r="BH16" i="11"/>
  <c r="BF19" i="11"/>
  <c r="BH19" i="16"/>
  <c r="BJ19" i="11"/>
  <c r="P18" i="17"/>
  <c r="BL18" i="11"/>
  <c r="BK12" i="11"/>
  <c r="BF17" i="11"/>
  <c r="AO16" i="17"/>
  <c r="S18" i="16"/>
  <c r="BL12" i="11"/>
  <c r="S14" i="16"/>
  <c r="P14" i="16"/>
  <c r="Z14" i="17"/>
  <c r="K20" i="2"/>
  <c r="M14" i="2"/>
  <c r="N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AY20" i="8"/>
  <c r="AY14" i="8"/>
  <c r="BD9" i="8"/>
  <c r="E14" i="17"/>
  <c r="AH14" i="16"/>
  <c r="S17" i="17"/>
  <c r="L17" i="2"/>
  <c r="L13" i="2"/>
  <c r="X10" i="21"/>
  <c r="X16" i="16"/>
  <c r="X20" i="16" s="1"/>
  <c r="V10" i="16"/>
  <c r="T14" i="20"/>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W20" i="21" l="1"/>
  <c r="BG10" i="8"/>
  <c r="BE9" i="8"/>
  <c r="R21" i="8"/>
  <c r="B19" i="6"/>
  <c r="M20" i="2"/>
  <c r="N20" i="2"/>
  <c r="V9" i="16"/>
  <c r="L9" i="2"/>
  <c r="U9" i="17"/>
  <c r="U21" i="17" s="1"/>
  <c r="L19" i="2"/>
  <c r="L18" i="2"/>
  <c r="X19" i="16"/>
  <c r="L12" i="2"/>
  <c r="S16"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K17" i="12" l="1"/>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S22" i="20"/>
  <c r="AV22" i="21"/>
  <c r="J22" i="20"/>
  <c r="AW22" i="1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<sst xmlns="http://schemas.openxmlformats.org/spreadsheetml/2006/main" count="2229" uniqueCount="979">
  <si>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</si>
  <si>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</si>
  <si>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</si>
  <si>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</si>
  <si>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</si>
  <si>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</si>
  <si>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</si>
  <si>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</si>
  <si>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</si>
  <si>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</si>
  <si>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</si>
  <si>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</si>
  <si>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</si>
  <si>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</si>
  <si>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</si>
  <si>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</si>
  <si>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</si>
  <si>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</si>
  <si>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</si>
  <si>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</si>
  <si>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</si>
  <si>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</si>
  <si>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</si>
  <si>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</si>
  <si>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</si>
  <si>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</si>
  <si>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</si>
  <si>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</si>
  <si>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</si>
  <si>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</si>
  <si>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</si>
  <si>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</si>
  <si>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</si>
  <si>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</si>
  <si>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</si>
  <si>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</si>
  <si>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</si>
  <si>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</si>
  <si>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</si>
  <si>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</si>
  <si>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</si>
  <si>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</si>
  <si>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</si>
  <si>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</si>
  <si>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</si>
  <si>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</si>
  <si>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</si>
  <si>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</si>
  <si>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</si>
  <si>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</si>
  <si>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</si>
  <si>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</si>
  <si>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</si>
  <si>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</si>
  <si>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</si>
  <si>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</si>
  <si>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</si>
  <si>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</si>
  <si>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</si>
  <si>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</si>
  <si>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</si>
  <si>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</si>
  <si>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</si>
  <si>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</si>
  <si>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</si>
  <si>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</si>
  <si>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</si>
  <si>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</si>
  <si>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</si>
  <si>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</si>
  <si>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</si>
  <si>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</si>
  <si>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</si>
  <si>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</si>
  <si>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</si>
  <si>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</si>
  <si>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</si>
  <si>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</si>
  <si>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</si>
  <si>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</si>
  <si>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</si>
  <si>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</si>
  <si>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</si>
  <si>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</si>
  <si>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</si>
  <si>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</si>
  <si>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</si>
  <si>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</si>
  <si>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</si>
  <si>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</si>
  <si>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</si>
  <si>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</si>
  <si>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</si>
  <si>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</si>
  <si>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</si>
  <si>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</si>
  <si>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</si>
  <si>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</si>
  <si>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</si>
  <si>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</si>
  <si>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</si>
  <si>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</si>
  <si>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</si>
  <si>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</si>
  <si>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</si>
  <si>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</si>
  <si>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</si>
  <si>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</si>
  <si>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</si>
  <si>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</si>
  <si>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</si>
  <si>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</si>
  <si>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</si>
  <si>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</si>
  <si>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</si>
  <si>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</si>
  <si>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</si>
  <si>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</si>
  <si>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</si>
  <si>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</si>
  <si>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</si>
  <si>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</si>
  <si>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</si>
  <si>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</si>
  <si>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</si>
  <si>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</si>
  <si>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</si>
  <si>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</si>
  <si>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</si>
  <si>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</si>
  <si>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</si>
  <si>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</si>
  <si>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</si>
  <si>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</si>
  <si>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</si>
  <si>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</si>
  <si>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</si>
  <si>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</si>
  <si>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</si>
  <si>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</si>
  <si>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</si>
  <si>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</si>
  <si>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</si>
  <si>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</si>
  <si>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</si>
  <si>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</si>
  <si>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</si>
  <si>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</si>
  <si>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</si>
  <si>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</si>
  <si>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</si>
  <si>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</si>
  <si>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</si>
  <si>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</si>
  <si>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</si>
  <si>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</si>
  <si>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</si>
  <si>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</si>
  <si>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</si>
  <si>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</si>
  <si>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</si>
  <si>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</si>
  <si>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</si>
  <si>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</si>
  <si>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</si>
  <si>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</si>
  <si>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</si>
  <si>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</si>
  <si>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</si>
  <si>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</si>
  <si>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</si>
  <si>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</si>
  <si>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</si>
  <si>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</si>
  <si>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</si>
  <si>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</si>
  <si>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</si>
  <si>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</si>
  <si>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</si>
  <si>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</si>
  <si>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</si>
  <si>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</si>
  <si>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</si>
  <si>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</si>
  <si>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</si>
  <si>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</si>
  <si>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</si>
  <si>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</si>
  <si>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</si>
  <si>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</si>
  <si>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</si>
  <si>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</si>
  <si>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</si>
  <si>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</si>
  <si>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</si>
  <si>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</si>
  <si>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</si>
  <si>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</si>
  <si>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</si>
  <si>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</si>
  <si>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</si>
  <si>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</si>
  <si>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</si>
  <si>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</si>
  <si>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</si>
  <si>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</si>
  <si>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</si>
  <si>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</si>
  <si>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</si>
  <si>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</si>
  <si>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</si>
  <si>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</si>
  <si>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</si>
  <si>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</si>
  <si>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</si>
  <si>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</si>
  <si>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</si>
  <si>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</si>
  <si>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</si>
  <si>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</si>
  <si>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</si>
  <si>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</si>
  <si>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</si>
  <si>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</si>
  <si>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</si>
  <si>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</si>
  <si>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</si>
  <si>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</si>
  <si>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</si>
  <si>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</si>
  <si>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</si>
  <si>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</si>
  <si>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</si>
  <si>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</si>
  <si>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</si>
  <si>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</si>
  <si>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</si>
  <si>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</si>
  <si>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</si>
  <si>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</si>
  <si>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</si>
  <si>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</si>
  <si>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</si>
  <si>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</si>
  <si>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</si>
  <si>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</si>
  <si>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</si>
  <si>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</si>
  <si>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</si>
  <si>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</si>
  <si>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</si>
  <si>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</si>
  <si>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</si>
  <si>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</si>
  <si>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</si>
  <si>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</si>
  <si>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</si>
  <si>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</si>
  <si>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</si>
  <si>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</si>
  <si>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</si>
  <si>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</si>
  <si>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</si>
  <si>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</si>
  <si>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</si>
  <si>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</si>
  <si>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</si>
  <si>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</si>
  <si>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</si>
  <si>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</si>
  <si>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</si>
  <si>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</si>
  <si>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</si>
  <si>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</si>
  <si>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</si>
  <si>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</si>
  <si>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</si>
  <si>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</si>
  <si>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</si>
  <si>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</si>
  <si>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</si>
  <si>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</si>
  <si>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</si>
  <si>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</si>
  <si>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</si>
  <si>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</si>
  <si>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</si>
  <si>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</si>
  <si>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</si>
  <si>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</si>
  <si>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</si>
  <si>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</si>
  <si>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</si>
  <si>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</si>
  <si>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</si>
  <si>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</si>
  <si>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</si>
  <si>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</si>
  <si>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</si>
  <si>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</si>
  <si>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</si>
  <si>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</si>
  <si>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</si>
  <si>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</si>
  <si>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</si>
  <si>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</si>
  <si>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</si>
  <si>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</si>
  <si>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</si>
  <si>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</si>
  <si>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</si>
  <si>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</si>
  <si>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</si>
  <si>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</si>
  <si>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</si>
  <si>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</si>
  <si>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</si>
  <si>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</si>
  <si>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</si>
  <si>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</si>
  <si>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</si>
  <si>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</si>
  <si>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</si>
  <si>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</si>
  <si>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</si>
  <si>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</si>
  <si>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</si>
  <si>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</si>
  <si>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</si>
  <si>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</si>
  <si>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</si>
  <si>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</si>
  <si>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</si>
  <si>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</si>
  <si>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</si>
  <si>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</si>
  <si>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</si>
  <si>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</si>
  <si>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</si>
  <si>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</si>
  <si>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</si>
  <si>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</si>
  <si>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</si>
  <si>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</si>
  <si>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</si>
  <si>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</si>
  <si>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</si>
  <si>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</si>
  <si>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</si>
  <si>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</si>
  <si>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</si>
  <si>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</si>
  <si>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</si>
  <si>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</si>
  <si>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</si>
  <si>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</si>
  <si>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</si>
  <si>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</si>
  <si>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</si>
  <si>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</si>
  <si>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</si>
  <si>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</si>
  <si>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</si>
  <si>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</si>
  <si>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</si>
  <si>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</si>
  <si>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</si>
  <si>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</si>
  <si>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</si>
  <si>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</si>
  <si>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</si>
  <si>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</si>
  <si>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</si>
  <si>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</si>
  <si>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</si>
  <si>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</si>
  <si>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</si>
  <si>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</si>
  <si>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</si>
  <si>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</si>
  <si>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</si>
  <si>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</si>
  <si>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</si>
  <si>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</si>
  <si>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</si>
  <si>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</si>
  <si>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</si>
  <si>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</si>
  <si>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</si>
  <si>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</si>
  <si>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</si>
  <si>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</si>
  <si>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</si>
  <si>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</si>
  <si>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</si>
  <si>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</si>
  <si>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</si>
  <si>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</si>
  <si>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</si>
  <si>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</si>
  <si>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</si>
  <si>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</si>
  <si>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</si>
  <si>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</si>
  <si>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</si>
  <si>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</si>
  <si>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</si>
  <si>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</si>
  <si>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</si>
  <si>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</si>
  <si>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</si>
  <si>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</si>
  <si>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</si>
  <si>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</si>
  <si>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</si>
  <si>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</si>
  <si>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</si>
  <si>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</si>
  <si>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</si>
  <si>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</si>
  <si>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</si>
  <si>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</si>
  <si>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</si>
  <si>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</si>
  <si>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</si>
  <si>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</si>
  <si>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</si>
  <si>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</si>
  <si>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</si>
  <si>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</si>
  <si>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</si>
  <si>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</si>
  <si>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</si>
  <si>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</si>
  <si>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</si>
  <si>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</si>
  <si>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</si>
  <si>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</si>
  <si>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</si>
  <si>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</si>
  <si>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</si>
  <si>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</si>
  <si>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</si>
  <si>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</si>
  <si>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</si>
  <si>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</si>
  <si>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</si>
  <si>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</si>
  <si>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</si>
  <si>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</si>
  <si>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</si>
  <si>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</si>
  <si>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</si>
  <si>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</si>
  <si>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</si>
  <si>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</si>
  <si>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</si>
  <si>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</si>
  <si>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</si>
  <si>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</si>
  <si>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</si>
  <si>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</si>
  <si>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</si>
  <si>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</si>
  <si>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</si>
  <si>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</si>
  <si>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</si>
  <si>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</si>
  <si>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</si>
  <si>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</si>
  <si>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</si>
  <si>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</si>
  <si>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</si>
  <si>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</si>
  <si>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</si>
  <si>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</si>
  <si>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</si>
  <si>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</si>
  <si>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</si>
  <si>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</si>
  <si>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</si>
  <si>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</si>
  <si>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</si>
  <si>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</si>
  <si>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</si>
  <si>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</si>
  <si>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</si>
  <si>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</si>
  <si>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</si>
  <si>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</si>
  <si>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</si>
  <si>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</si>
  <si>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</si>
  <si>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</si>
  <si>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</si>
  <si>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</si>
  <si>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</si>
  <si>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</si>
  <si>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</si>
  <si>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</si>
  <si>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</si>
  <si>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</si>
  <si>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</si>
  <si>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</si>
  <si>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</si>
  <si>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</si>
  <si>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</si>
  <si>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</si>
  <si>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</si>
  <si>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</si>
  <si>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</si>
  <si>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</si>
  <si>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</si>
  <si>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</si>
  <si>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</si>
  <si>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</si>
  <si>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</si>
  <si>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</si>
  <si>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</si>
  <si>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</si>
  <si>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</si>
  <si>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</si>
  <si>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</si>
  <si>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</si>
  <si>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</si>
  <si>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</si>
  <si>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</si>
  <si>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</si>
  <si>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</si>
  <si>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</si>
  <si>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</si>
  <si>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</si>
  <si>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</si>
  <si>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</si>
  <si>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</si>
  <si>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</si>
  <si>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</si>
  <si>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</si>
  <si>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</si>
  <si>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</si>
  <si>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</si>
  <si>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</si>
  <si>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</si>
  <si>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</si>
  <si>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</si>
  <si>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</si>
  <si>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</si>
  <si>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</si>
  <si>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</si>
  <si>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</si>
  <si>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</si>
  <si>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</si>
  <si>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</si>
  <si>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</si>
  <si>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</si>
  <si>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</si>
  <si>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</si>
  <si>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</si>
  <si>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</si>
  <si>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</si>
  <si>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</si>
  <si>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</si>
  <si>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</si>
  <si>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</si>
  <si>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</si>
  <si>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</si>
  <si>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</si>
  <si>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</si>
  <si>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</si>
  <si>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</si>
  <si>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</si>
  <si>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</si>
  <si>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</si>
  <si>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</si>
  <si>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</si>
  <si>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</si>
  <si>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</si>
  <si>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</si>
  <si>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</si>
  <si>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</si>
  <si>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</si>
  <si>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</si>
  <si>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</si>
  <si>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</si>
  <si>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</si>
  <si>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</si>
  <si>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</si>
  <si>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</si>
  <si>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</si>
  <si>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</si>
  <si>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</si>
  <si>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</si>
  <si>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</si>
  <si>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</si>
  <si>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</si>
  <si>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</si>
  <si>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</si>
  <si>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</si>
  <si>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</si>
  <si>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</si>
  <si>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</si>
  <si>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</si>
  <si>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</si>
  <si>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</si>
  <si>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</si>
  <si>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</si>
  <si>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</si>
  <si>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</si>
  <si>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</si>
  <si>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</si>
  <si>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</si>
  <si>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</si>
  <si>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</si>
  <si>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</si>
  <si>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</si>
  <si>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</si>
  <si>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</si>
  <si>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</si>
  <si>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</si>
  <si>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</si>
  <si>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</si>
  <si>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</si>
  <si>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</si>
  <si>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</si>
  <si>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</si>
  <si>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</si>
  <si>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</si>
  <si>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</si>
  <si>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</si>
  <si>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</si>
  <si>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</si>
  <si>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</si>
  <si>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</si>
  <si>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</si>
  <si>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</si>
  <si>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</si>
  <si>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</si>
  <si>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</si>
  <si>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</si>
  <si>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</si>
  <si>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</si>
  <si>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</si>
  <si>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</si>
  <si>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</si>
  <si>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</si>
  <si>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</si>
  <si>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</si>
  <si>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</si>
  <si>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</si>
  <si>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</si>
  <si>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</si>
  <si>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</si>
  <si>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</si>
  <si>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</si>
  <si>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</si>
  <si>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</si>
  <si>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</si>
  <si>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</si>
  <si>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</si>
  <si>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</si>
  <si>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</si>
  <si>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</si>
  <si>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</si>
  <si>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</si>
  <si>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</si>
  <si>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</si>
  <si>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</si>
  <si>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</si>
  <si>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</si>
  <si>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</si>
  <si>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</si>
  <si>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</si>
  <si>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</si>
  <si>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</si>
  <si>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</si>
  <si>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</si>
  <si>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</si>
  <si>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</si>
  <si>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</si>
  <si>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</si>
  <si>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</si>
  <si>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</si>
  <si>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</si>
  <si>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</si>
  <si>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</si>
  <si>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</si>
  <si>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</si>
  <si>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</si>
  <si>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</si>
  <si>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</si>
  <si>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</si>
  <si>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</si>
  <si>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</si>
  <si>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</si>
  <si>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</si>
  <si>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</si>
  <si>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</si>
  <si>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</si>
  <si>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</si>
  <si>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</si>
  <si>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</si>
  <si>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</si>
  <si>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</si>
  <si>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</si>
  <si>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</si>
  <si>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</si>
  <si>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</si>
  <si>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</si>
  <si>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</si>
  <si>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</si>
  <si>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</si>
  <si>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</si>
  <si>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</si>
  <si>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</si>
  <si>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</si>
  <si>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</si>
  <si>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</si>
  <si>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</si>
  <si>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</si>
  <si>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</si>
  <si>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</si>
  <si>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</si>
  <si>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</si>
  <si>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</si>
  <si>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</si>
  <si>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</si>
  <si>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</si>
  <si>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</si>
  <si>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</si>
  <si>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</si>
  <si>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</si>
  <si>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</si>
  <si>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</si>
  <si>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</si>
  <si>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</si>
  <si>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</si>
  <si>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</si>
  <si>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</si>
  <si>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</si>
  <si>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</si>
  <si>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</si>
  <si>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</si>
  <si>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</si>
  <si>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</si>
  <si>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</si>
  <si>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</si>
  <si>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</si>
  <si>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</si>
  <si>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</si>
  <si>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</si>
  <si>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</si>
  <si>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</si>
  <si>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</si>
  <si>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</si>
  <si>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</si>
  <si>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</si>
  <si>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</si>
  <si>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</si>
  <si>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</si>
  <si>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</si>
  <si>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</si>
  <si>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</si>
  <si>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</si>
  <si>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</si>
  <si>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</si>
  <si>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</si>
  <si>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</si>
  <si>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</si>
  <si>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</si>
  <si>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</si>
  <si>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</si>
  <si>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</si>
  <si>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</si>
  <si>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</si>
  <si>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</si>
  <si>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</si>
  <si>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</si>
  <si>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</si>
  <si>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</si>
  <si>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</si>
  <si>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</si>
  <si>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</si>
  <si>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</si>
  <si>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</si>
  <si>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</si>
  <si>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</si>
  <si>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</si>
  <si>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</si>
  <si>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</si>
  <si>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</si>
  <si>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</si>
  <si>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</si>
  <si>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</si>
  <si>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</si>
  <si>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</si>
  <si>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</si>
  <si>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</si>
  <si>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</si>
  <si>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</si>
  <si>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</si>
  <si>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</si>
  <si>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</si>
  <si>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</si>
  <si>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</si>
  <si>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</si>
  <si>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</si>
  <si>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</si>
  <si>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</si>
  <si>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</si>
  <si>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</si>
  <si>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</si>
  <si>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</si>
  <si>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</si>
  <si>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</si>
  <si>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</si>
  <si>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</si>
  <si>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</si>
  <si>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</si>
  <si>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</si>
  <si>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</si>
  <si>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</si>
  <si>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</si>
  <si>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</si>
  <si>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</si>
  <si>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</si>
  <si>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</si>
  <si>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</si>
  <si>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</si>
  <si>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</si>
  <si>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</si>
  <si>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</si>
  <si>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</si>
  <si>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</si>
  <si>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</si>
  <si>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</si>
  <si>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</si>
  <si>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</si>
  <si>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</si>
  <si>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</si>
  <si>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</si>
  <si>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</si>
  <si>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</si>
  <si>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</si>
  <si>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</si>
  <si>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</si>
  <si>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</si>
  <si>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</si>
  <si>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</si>
  <si>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</si>
  <si>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</si>
  <si>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</si>
  <si>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</si>
  <si>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</si>
  <si>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</si>
  <si>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</si>
  <si>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</si>
  <si>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</si>
  <si>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</si>
  <si>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</si>
  <si>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</si>
  <si>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</si>
  <si>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</si>
  <si>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</si>
  <si>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</si>
  <si>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</si>
  <si>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</si>
  <si>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</si>
  <si>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</si>
  <si>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</si>
  <si>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</si>
  <si>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</si>
  <si>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</si>
  <si>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</si>
  <si>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</si>
  <si>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</si>
  <si>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</si>
  <si>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</si>
  <si>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</si>
  <si>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</si>
  <si>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</si>
  <si>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</si>
  <si>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</si>
  <si>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</si>
  <si>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</si>
  <si>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</si>
  <si>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</si>
  <si>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</si>
  <si>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</si>
  <si>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</si>
  <si>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</si>
  <si>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</si>
  <si>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</si>
  <si>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</si>
  <si>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</si>
  <si>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</si>
  <si>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</si>
  <si>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</si>
  <si>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</si>
  <si>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</si>
  <si>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</si>
  <si>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</si>
  <si>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</si>
  <si>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</si>
  <si>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</si>
  <si>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</si>
  <si>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</si>
  <si>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</si>
  <si>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</si>
  <si>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</si>
  <si>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</si>
  <si>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</si>
  <si>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</si>
  <si>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</si>
  <si>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</si>
  <si>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</si>
  <si>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</si>
  <si>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</si>
  <si>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</si>
  <si>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</si>
  <si>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</si>
  <si>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</si>
  <si>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</si>
  <si>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</si>
  <si>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</si>
  <si>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</si>
  <si>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</si>
  <si>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</si>
  <si>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</si>
  <si>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</si>
  <si>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</si>
  <si>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</si>
  <si>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</si>
  <si>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</si>
  <si>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</si>
  <si>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</si>
  <si>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</si>
  <si>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</si>
  <si>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</si>
  <si>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</si>
  <si>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</si>
  <si>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</si>
  <si>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</si>
  <si>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</si>
  <si>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</si>
  <si>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</si>
  <si>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</si>
  <si>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</si>
  <si>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</si>
  <si>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</si>
  <si>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</si>
  <si>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</si>
  <si>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</si>
  <si>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</si>
  <si>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</si>
  <si>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</si>
  <si>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</si>
  <si>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</si>
  <si>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</si>
  <si>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</si>
  <si>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</si>
  <si>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</si>
  <si>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</si>
  <si>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</si>
  <si>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</si>
  <si>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</si>
  <si>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</si>
  <si>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</si>
  <si>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</si>
  <si>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</si>
  <si>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</si>
  <si>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</si>
  <si>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</si>
  <si>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</si>
  <si>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</si>
  <si>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ISLAS BALEARES</t>
  </si>
  <si>
    <t>Provincias</t>
  </si>
  <si>
    <t>ILLES BALEARS</t>
  </si>
  <si>
    <t>Resumenes por Partidos Judiciales</t>
  </si>
  <si>
    <t>EIVISSA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</si>
</sst>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Ai9rJAPSsy2efmkEMHgYMkaiJz7PEicnB1qrSLbVA6Iw2wuM1NZqMZz1pUKKTVQ/06hDlcT1W4ZtZGjkj8BgUQ==" saltValue="SsqFJpwC1v9jpNxmUAfh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ISLAS BALEARES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5</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30.179623370352484</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115</v>
      </c>
      <c r="D10" s="230">
        <f>IF(ISNUMBER(Datos!I10),Datos!I10," - ")</f>
        <v>115</v>
      </c>
      <c r="E10" s="231">
        <f>IF(ISNUMBER(Datos!J10),Datos!J10," - ")</f>
        <v>42</v>
      </c>
      <c r="F10" s="231">
        <f>IF(ISNUMBER(Datos!K10),Datos!K10," - ")</f>
        <v>16</v>
      </c>
      <c r="G10" s="1193" t="str">
        <f>IF(Datos!E10&lt;&gt;"",Datos!E10,Datos!D10)</f>
        <v>37</v>
      </c>
      <c r="H10" s="232">
        <f>IF(ISNUMBER(Datos!L10),Datos!L10," - ")</f>
        <v>141</v>
      </c>
      <c r="I10" s="1203" t="str">
        <f>IF(ISNUMBER(Datos!AS10/Datos!BM10),Datos!AS10/Datos!BM10," - ")</f>
        <v xml:space="preserve"> - </v>
      </c>
      <c r="J10" s="1204">
        <f>IF(ISNUMBER(Datos!BY10/Datos!CN10),Datos!BY10/Datos!CN10," - ")</f>
        <v>0</v>
      </c>
      <c r="K10" s="235">
        <f t="shared" ref="K10:K13" si="1">IF(ISNUMBER((E10-F10)/C10),(E10-F10)/C10," - ")</f>
        <v>0.22608695652173913</v>
      </c>
      <c r="L10" s="1205">
        <f>IF(ISNUMBER(NºAsuntos!I10/NºAsuntos!G10),(NºAsuntos!I10/NºAsuntos!G10)*11," - ")</f>
        <v>96.9375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115</v>
      </c>
      <c r="D14" s="1210">
        <f>SUBTOTAL(9,D9:D13)</f>
        <v>115</v>
      </c>
      <c r="E14" s="1211">
        <f>SUBTOTAL(9,E9:E13)</f>
        <v>42</v>
      </c>
      <c r="F14" s="1212">
        <f>SUBTOTAL(9,F9:F13)</f>
        <v>16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4</v>
      </c>
      <c r="B16" s="1258" t="str">
        <f>Datos!A16</f>
        <v xml:space="preserve">Jdos. Instrucción                               </v>
      </c>
      <c r="C16" s="230">
        <f t="shared" ref="C16:C19" si="2">IF(ISNUMBER(H16-E16+F16),H16-E16+F16," - ")</f>
        <v>4801</v>
      </c>
      <c r="D16" s="230">
        <f>IF(ISNUMBER(IF(D_I="SI",Datos!I16,Datos!I16+Datos!AC16)),IF(D_I="SI",Datos!I16,Datos!I16+Datos!AC16)," - ")</f>
        <v>4153</v>
      </c>
      <c r="E16" s="231">
        <f>IF(ISNUMBER(IF(D_I="SI",Datos!J16,Datos!J16+Datos!AD16)),IF(D_I="SI",Datos!J16,Datos!J16+Datos!AD16)," - ")</f>
        <v>2864</v>
      </c>
      <c r="F16" s="231">
        <f>IF(ISNUMBER(IF(D_I="SI",Datos!K16,Datos!K16+Datos!AE16)),IF(D_I="SI",Datos!K16,Datos!K16+Datos!AE16)," - ")</f>
        <v>3048</v>
      </c>
      <c r="G16" s="1193" t="str">
        <f>IF(Datos!E16&lt;&gt;"",Datos!E16,Datos!D16)</f>
        <v>03</v>
      </c>
      <c r="H16" s="232">
        <f>IF(ISNUMBER(IF(D_I="SI",Datos!L16,Datos!L16+Datos!AF16)),IF(D_I="SI",Datos!L16,Datos!L16+Datos!AF16)," - ")</f>
        <v>4617</v>
      </c>
      <c r="I16" s="1203" t="str">
        <f>IF(ISNUMBER(Datos!AS16/Datos!BM16),Datos!AS16/Datos!BM16," - ")</f>
        <v xml:space="preserve"> - </v>
      </c>
      <c r="J16" s="1204">
        <f>IF(ISNUMBER(Datos!BY16/Datos!CN16),Datos!BY16/Datos!CN16," - ")</f>
        <v>0</v>
      </c>
      <c r="K16" s="235">
        <f t="shared" ref="K16:K19" si="3">IF(ISNUMBER((E16-F16)/C16),(E16-F16)/C16," - ")</f>
        <v>-3.832534888564882E-2</v>
      </c>
      <c r="L16" s="1205">
        <f>IF(ISNUMBER(NºAsuntos!I16/NºAsuntos!G16),(NºAsuntos!I16/NºAsuntos!G16)*11," - ")</f>
        <v>16.662401574803148</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313</v>
      </c>
      <c r="D18" s="230">
        <f>IF(ISNUMBER(IF(D_I="SI",Datos!I18,Datos!I18+Datos!AC18)),IF(D_I="SI",Datos!I18,Datos!I18+Datos!AC18)," - ")</f>
        <v>311</v>
      </c>
      <c r="E18" s="231">
        <f>IF(ISNUMBER(IF(D_I="SI",Datos!J18,Datos!J18+Datos!AD18)),IF(D_I="SI",Datos!J18,Datos!J18+Datos!AD18)," - ")</f>
        <v>322</v>
      </c>
      <c r="F18" s="231">
        <f>IF(ISNUMBER(IF(D_I="SI",Datos!K18,Datos!K18+Datos!AE18)),IF(D_I="SI",Datos!K18,Datos!K18+Datos!AE18)," - ")</f>
        <v>351</v>
      </c>
      <c r="G18" s="1193" t="str">
        <f>IF(Datos!E18&lt;&gt;"",Datos!E18,Datos!D18)</f>
        <v>37</v>
      </c>
      <c r="H18" s="232">
        <f>IF(ISNUMBER(IF(D_I="SI",Datos!L18,Datos!L18+Datos!AF18)),IF(D_I="SI",Datos!L18,Datos!L18+Datos!AF18)," - ")</f>
        <v>284</v>
      </c>
      <c r="I18" s="1203" t="str">
        <f>IF(ISNUMBER(Datos!AS18/Datos!BM18),Datos!AS18/Datos!BM18," - ")</f>
        <v xml:space="preserve"> - </v>
      </c>
      <c r="J18" s="1204" t="str">
        <f>IF(ISNUMBER((Datos!BY18+Datos!BZ18)/Datos!CN18),(Datos!BY18+Datos!BZ18)/Datos!CN18," - ")</f>
        <v xml:space="preserve"> - </v>
      </c>
      <c r="K18" s="235">
        <f t="shared" si="3"/>
        <v>-9.2651757188498399E-2</v>
      </c>
      <c r="L18" s="1205">
        <f>IF(ISNUMBER(NºAsuntos!I18/NºAsuntos!G18),(NºAsuntos!I18/NºAsuntos!G18)*11," - ")</f>
        <v>8.9002849002849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5114</v>
      </c>
      <c r="D20" s="1210">
        <f>SUBTOTAL(9,D16:D19)</f>
        <v>4464</v>
      </c>
      <c r="E20" s="1211">
        <f>SUBTOTAL(9,E16:E19)</f>
        <v>3186</v>
      </c>
      <c r="F20" s="1211">
        <f>SUBTOTAL(9,F16:F19)</f>
        <v>3399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5229</v>
      </c>
      <c r="D21" s="1232">
        <f>SUBTOTAL(9,D9:D20)</f>
        <v>4579</v>
      </c>
      <c r="E21" s="1233">
        <f>SUBTOTAL(9,E9:E20)</f>
        <v>3228</v>
      </c>
      <c r="F21" s="1233">
        <f>SUBTOTAL(9,F9:F20)</f>
        <v>3415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K3wpW090r54hPX/94KRqbZmeABQyGWtQ/Pps84lgfefibpXZas9y+5DmnX6iIdw8rwntD4jYSGDjBlxnjWUyHg==" saltValue="33zxhiyoAQ9kldv5m4psZ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EdSMQVZTN24MJQYkEgF/duEXeUdeLYvpNzk9d7TbX0fkgSPT+YrCENmFn5+CXycXZWfCqCyLUCUlH/EExRCQ9A==" saltValue="sgPN0kEojoR+tV0uHS/S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5384</v>
      </c>
      <c r="J9" s="186">
        <v>2050</v>
      </c>
      <c r="K9" s="186">
        <v>1915</v>
      </c>
      <c r="L9" s="186">
        <v>5519</v>
      </c>
      <c r="M9" s="186">
        <v>716</v>
      </c>
      <c r="N9" s="186">
        <v>777</v>
      </c>
      <c r="O9" s="186">
        <v>445</v>
      </c>
      <c r="P9" s="186">
        <v>527</v>
      </c>
      <c r="Q9" s="186">
        <v>219</v>
      </c>
      <c r="R9" s="186">
        <v>6492</v>
      </c>
      <c r="S9" s="186">
        <v>5259</v>
      </c>
      <c r="T9" s="186">
        <v>2089</v>
      </c>
      <c r="U9" s="186">
        <v>2104</v>
      </c>
      <c r="V9" s="186">
        <v>5244</v>
      </c>
      <c r="W9" s="186">
        <v>654</v>
      </c>
      <c r="X9" s="193">
        <v>623</v>
      </c>
      <c r="Y9" s="196">
        <v>184</v>
      </c>
      <c r="Z9" s="186">
        <v>135</v>
      </c>
      <c r="AA9" s="186">
        <v>156</v>
      </c>
      <c r="AB9" s="186">
        <v>163</v>
      </c>
      <c r="AC9" s="186">
        <v>0</v>
      </c>
      <c r="AD9" s="186">
        <v>0</v>
      </c>
      <c r="AE9" s="186">
        <v>0</v>
      </c>
      <c r="AF9" s="193">
        <v>0</v>
      </c>
      <c r="AG9" s="196">
        <v>228</v>
      </c>
      <c r="AH9" s="186">
        <v>132</v>
      </c>
      <c r="AI9" s="186">
        <v>170</v>
      </c>
      <c r="AJ9" s="197">
        <v>190</v>
      </c>
      <c r="AK9" s="185">
        <v>0</v>
      </c>
      <c r="AL9" s="186">
        <v>0</v>
      </c>
      <c r="AM9" s="186">
        <v>0</v>
      </c>
      <c r="AN9" s="193">
        <v>0</v>
      </c>
      <c r="AO9" s="263">
        <v>5</v>
      </c>
      <c r="AP9" s="159">
        <v>5</v>
      </c>
      <c r="AQ9" s="159">
        <v>5</v>
      </c>
      <c r="AR9" s="198">
        <v>5</v>
      </c>
      <c r="AS9" s="348" t="s">
        <v>871</v>
      </c>
      <c r="AT9" s="200"/>
      <c r="AU9" s="199"/>
      <c r="AV9" s="200"/>
      <c r="AW9" s="199"/>
      <c r="AX9" s="200"/>
      <c r="AY9" s="125">
        <f>IF(ISNUMBER(IF(J_V="SI",S9,S9+AG9)),IF(J_V="SI",S9,S9+AG9)," - ")</f>
        <v>5487</v>
      </c>
      <c r="AZ9" s="125">
        <f>IF(ISNUMBER(IF(J_V="SI",T9,T9+AH9)),IF(J_V="SI",T9,T9+AH9)," - ")</f>
        <v>2221</v>
      </c>
      <c r="BA9" s="126">
        <f>IF(ISNUMBER(IF(J_V="SI",U9,U9+AI9)),IF(J_V="SI",U9,U9+AI9)," - ")</f>
        <v>2274</v>
      </c>
      <c r="BB9" s="126">
        <f>IF(ISNUMBER(IF(J_V="SI",V9,V9+AJ9)),IF(J_V="SI",V9,V9+AJ9)," - ")</f>
        <v>5434</v>
      </c>
      <c r="BC9" s="127">
        <f>IF(ISNUMBER(X9),X9," - ")</f>
        <v>623</v>
      </c>
      <c r="BD9" s="128">
        <f>IF(ISNUMBER(BA9/AZ9),BA9/AZ9," - ")</f>
        <v>1.0238631247185952</v>
      </c>
      <c r="BE9" s="129">
        <f>IF(ISNUMBER(BB9/BA9),BB9/BA9, " - ")</f>
        <v>2.3896218117854002</v>
      </c>
      <c r="BF9" s="129">
        <f>IF(ISNUMBER(BC9/BA9),BC9/BA9, " - ")</f>
        <v>0.27396657871591906</v>
      </c>
      <c r="BG9" s="201">
        <f>IF(ISNUMBER((AY9+AZ9)/BA9),(AY9+AZ9)/BA9," - ")</f>
        <v>3.3896218117854002</v>
      </c>
      <c r="BH9" s="159">
        <v>5</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115</v>
      </c>
      <c r="J10" s="186">
        <v>42</v>
      </c>
      <c r="K10" s="186">
        <v>16</v>
      </c>
      <c r="L10" s="186">
        <v>141</v>
      </c>
      <c r="M10" s="186">
        <v>3</v>
      </c>
      <c r="N10" s="186">
        <v>5</v>
      </c>
      <c r="O10" s="186">
        <v>3</v>
      </c>
      <c r="P10" s="186">
        <v>3</v>
      </c>
      <c r="Q10" s="186">
        <v>1</v>
      </c>
      <c r="R10" s="186">
        <v>25</v>
      </c>
      <c r="S10" s="186">
        <v>75</v>
      </c>
      <c r="T10" s="186">
        <v>29</v>
      </c>
      <c r="U10" s="186">
        <v>24</v>
      </c>
      <c r="V10" s="186">
        <v>80</v>
      </c>
      <c r="W10" s="186">
        <v>6</v>
      </c>
      <c r="X10" s="193">
        <v>6</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75</v>
      </c>
      <c r="AZ10" s="131">
        <f t="shared" si="0"/>
        <v>29</v>
      </c>
      <c r="BA10" s="131">
        <f t="shared" si="0"/>
        <v>24</v>
      </c>
      <c r="BB10" s="131">
        <f t="shared" si="0"/>
        <v>80</v>
      </c>
      <c r="BC10" s="127">
        <f t="shared" si="0"/>
        <v>6</v>
      </c>
      <c r="BD10" s="128">
        <f>IF(ISNUMBER(BA10/AZ10),BA10/AZ10," - ")</f>
        <v>0.82758620689655171</v>
      </c>
      <c r="BE10" s="129">
        <f>IF(ISNUMBER(BB10/BA10),BB10/BA10, " - ")</f>
        <v>3.3333333333333335</v>
      </c>
      <c r="BF10" s="129">
        <f>IF(ISNUMBER(BC10/BA10),BC10/BA10, " - ")</f>
        <v>0.25</v>
      </c>
      <c r="BG10" s="201">
        <f>IF(ISNUMBER((AY10+AZ10)/BA10),(AY10+AZ10)/BA10," - ")</f>
        <v>4.333333333333333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5499</v>
      </c>
      <c r="J14" s="189">
        <f t="shared" si="7"/>
        <v>2092</v>
      </c>
      <c r="K14" s="189">
        <f t="shared" si="7"/>
        <v>1931</v>
      </c>
      <c r="L14" s="189">
        <f t="shared" si="7"/>
        <v>5660</v>
      </c>
      <c r="M14" s="189">
        <f t="shared" si="7"/>
        <v>719</v>
      </c>
      <c r="N14" s="189">
        <f t="shared" si="7"/>
        <v>782</v>
      </c>
      <c r="O14" s="189">
        <f t="shared" si="7"/>
        <v>448</v>
      </c>
      <c r="P14" s="189">
        <f t="shared" si="7"/>
        <v>530</v>
      </c>
      <c r="Q14" s="189">
        <f t="shared" si="7"/>
        <v>220</v>
      </c>
      <c r="R14" s="189">
        <f t="shared" si="7"/>
        <v>6517</v>
      </c>
      <c r="S14" s="189">
        <f t="shared" si="7"/>
        <v>5334</v>
      </c>
      <c r="T14" s="189">
        <f t="shared" si="7"/>
        <v>2118</v>
      </c>
      <c r="U14" s="189">
        <f t="shared" si="7"/>
        <v>2128</v>
      </c>
      <c r="V14" s="189">
        <f t="shared" si="7"/>
        <v>5324</v>
      </c>
      <c r="W14" s="189">
        <f t="shared" si="7"/>
        <v>660</v>
      </c>
      <c r="X14" s="189">
        <f t="shared" si="7"/>
        <v>629</v>
      </c>
      <c r="Y14" s="189">
        <f t="shared" si="7"/>
        <v>184</v>
      </c>
      <c r="Z14" s="189">
        <f t="shared" si="7"/>
        <v>135</v>
      </c>
      <c r="AA14" s="189">
        <f t="shared" si="7"/>
        <v>156</v>
      </c>
      <c r="AB14" s="189">
        <f t="shared" si="7"/>
        <v>163</v>
      </c>
      <c r="AC14" s="189">
        <f t="shared" si="7"/>
        <v>0</v>
      </c>
      <c r="AD14" s="189">
        <f t="shared" si="7"/>
        <v>0</v>
      </c>
      <c r="AE14" s="189">
        <f t="shared" si="7"/>
        <v>0</v>
      </c>
      <c r="AF14" s="189">
        <f>SUBTOTAL(9,AF9:AF13)</f>
        <v>0</v>
      </c>
      <c r="AG14" s="189">
        <f t="shared" ref="AG14:AT14" si="8">SUBTOTAL(9,AG8:AG13)</f>
        <v>228</v>
      </c>
      <c r="AH14" s="189">
        <f t="shared" si="8"/>
        <v>132</v>
      </c>
      <c r="AI14" s="189">
        <f t="shared" si="8"/>
        <v>170</v>
      </c>
      <c r="AJ14" s="189">
        <f t="shared" si="8"/>
        <v>190</v>
      </c>
      <c r="AK14" s="189">
        <f t="shared" si="8"/>
        <v>0</v>
      </c>
      <c r="AL14" s="189">
        <f t="shared" si="8"/>
        <v>0</v>
      </c>
      <c r="AM14" s="189">
        <f t="shared" si="8"/>
        <v>0</v>
      </c>
      <c r="AN14" s="189">
        <f t="shared" si="8"/>
        <v>0</v>
      </c>
      <c r="AO14" s="189">
        <f t="shared" si="8"/>
        <v>6</v>
      </c>
      <c r="AP14" s="189">
        <f t="shared" si="8"/>
        <v>6</v>
      </c>
      <c r="AQ14" s="189">
        <f t="shared" si="8"/>
        <v>6</v>
      </c>
      <c r="AR14" s="189">
        <f t="shared" si="8"/>
        <v>6</v>
      </c>
      <c r="AS14" s="189">
        <f t="shared" si="8"/>
        <v>0</v>
      </c>
      <c r="AT14" s="189">
        <f t="shared" si="8"/>
        <v>0</v>
      </c>
      <c r="AU14" s="209"/>
      <c r="AV14" s="134"/>
      <c r="AW14" s="209"/>
      <c r="AX14" s="134"/>
      <c r="AY14" s="189">
        <f>SUBTOTAL(9,AY8:AY13)</f>
        <v>5562</v>
      </c>
      <c r="AZ14" s="189">
        <f>SUBTOTAL(9,AZ8:AZ13)</f>
        <v>2250</v>
      </c>
      <c r="BA14" s="189">
        <f>SUBTOTAL(9,BA8:BA13)</f>
        <v>2298</v>
      </c>
      <c r="BB14" s="189">
        <f>SUBTOTAL(9,BB8:BB13)</f>
        <v>5514</v>
      </c>
      <c r="BC14" s="189">
        <f>SUBTOTAL(9,BC8:BC13)</f>
        <v>629</v>
      </c>
      <c r="BD14" s="210">
        <f>IF(ISNUMBER(BA14/AZ14),BA14/AZ14," - ")</f>
        <v>1.0213333333333334</v>
      </c>
      <c r="BE14" s="211">
        <f>IF(ISNUMBER(BB14/BA14),BB14/BA14, " - ")</f>
        <v>2.3994778067885116</v>
      </c>
      <c r="BF14" s="211">
        <f>IF(ISNUMBER(BC14/BA14),BC14/BA14, " - ")</f>
        <v>0.27371627502175805</v>
      </c>
      <c r="BG14" s="212">
        <f>IF(ISNUMBER((AY14+AZ14)/BA14),(AY14+AZ14)/BA14," - ")</f>
        <v>3.3994778067885116</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4153</v>
      </c>
      <c r="J16" s="188">
        <v>2864</v>
      </c>
      <c r="K16" s="188">
        <v>3048</v>
      </c>
      <c r="L16" s="188">
        <v>4617</v>
      </c>
      <c r="M16" s="188">
        <v>473</v>
      </c>
      <c r="N16" s="188">
        <v>1796</v>
      </c>
      <c r="O16" s="186">
        <v>0</v>
      </c>
      <c r="P16" s="188">
        <v>82</v>
      </c>
      <c r="Q16" s="188">
        <v>79</v>
      </c>
      <c r="R16" s="188">
        <v>281</v>
      </c>
      <c r="S16" s="188">
        <v>5015</v>
      </c>
      <c r="T16" s="188">
        <v>2151</v>
      </c>
      <c r="U16" s="188">
        <v>2531</v>
      </c>
      <c r="V16" s="188">
        <v>4321</v>
      </c>
      <c r="W16" s="188">
        <v>372</v>
      </c>
      <c r="X16" s="194">
        <v>1548</v>
      </c>
      <c r="Y16" s="207">
        <v>0</v>
      </c>
      <c r="Z16" s="188">
        <v>0</v>
      </c>
      <c r="AA16" s="188">
        <v>0</v>
      </c>
      <c r="AB16" s="188">
        <v>0</v>
      </c>
      <c r="AC16" s="188">
        <v>0</v>
      </c>
      <c r="AD16" s="188">
        <v>1</v>
      </c>
      <c r="AE16" s="188">
        <v>1</v>
      </c>
      <c r="AF16" s="194">
        <v>0</v>
      </c>
      <c r="AG16" s="207">
        <v>0</v>
      </c>
      <c r="AH16" s="188">
        <v>0</v>
      </c>
      <c r="AI16" s="188">
        <v>0</v>
      </c>
      <c r="AJ16" s="208">
        <v>0</v>
      </c>
      <c r="AK16" s="187">
        <v>0</v>
      </c>
      <c r="AL16" s="188">
        <v>0</v>
      </c>
      <c r="AM16" s="188">
        <v>0</v>
      </c>
      <c r="AN16" s="194">
        <v>0</v>
      </c>
      <c r="AO16" s="264">
        <v>4</v>
      </c>
      <c r="AP16" s="160">
        <v>4</v>
      </c>
      <c r="AQ16" s="160">
        <v>4</v>
      </c>
      <c r="AR16" s="160">
        <v>4</v>
      </c>
      <c r="AS16" s="350" t="s">
        <v>588</v>
      </c>
      <c r="AT16" s="208" t="s">
        <v>360</v>
      </c>
      <c r="AU16" s="207"/>
      <c r="AV16" s="208"/>
      <c r="AW16" s="207"/>
      <c r="AX16" s="208"/>
      <c r="AY16" s="130">
        <f t="shared" ref="AY16:BB17" si="10">IF(ISNUMBER(IF(D_I="SI",S16,S16+AK16)),IF(D_I="SI",S16,S16+AK16)," - ")</f>
        <v>5015</v>
      </c>
      <c r="AZ16" s="131">
        <f t="shared" si="10"/>
        <v>2151</v>
      </c>
      <c r="BA16" s="131">
        <f t="shared" si="10"/>
        <v>2531</v>
      </c>
      <c r="BB16" s="131">
        <f t="shared" si="10"/>
        <v>4321</v>
      </c>
      <c r="BC16" s="127">
        <f>IF(ISNUMBER(W16),W16," - ")</f>
        <v>372</v>
      </c>
      <c r="BD16" s="128">
        <f>IF(ISNUMBER(BA16/AZ16),BA16/AZ16," - ")</f>
        <v>1.1766620176662017</v>
      </c>
      <c r="BE16" s="129">
        <f>IF(ISNUMBER(BB16/BA16),BB16/BA16, " - ")</f>
        <v>1.707230343737653</v>
      </c>
      <c r="BF16" s="129">
        <f>IF(ISNUMBER(BC16/BA16),BC16/BA16, " - ")</f>
        <v>0.14697747925721058</v>
      </c>
      <c r="BG16" s="201">
        <f t="shared" ref="BG16:BG19" si="11">IF(ISNUMBER((AY16+AZ16)/BA16),(AY16+AZ16)/BA16," - ")</f>
        <v>2.8312919794547611</v>
      </c>
      <c r="BH16" s="160">
        <v>4</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311</v>
      </c>
      <c r="J18" s="188">
        <v>322</v>
      </c>
      <c r="K18" s="188">
        <v>351</v>
      </c>
      <c r="L18" s="188">
        <v>284</v>
      </c>
      <c r="M18" s="188">
        <v>45</v>
      </c>
      <c r="N18" s="188">
        <v>183</v>
      </c>
      <c r="O18" s="188">
        <v>4</v>
      </c>
      <c r="P18" s="188">
        <v>11</v>
      </c>
      <c r="Q18" s="188">
        <v>4</v>
      </c>
      <c r="R18" s="188">
        <v>14</v>
      </c>
      <c r="S18" s="188">
        <v>304</v>
      </c>
      <c r="T18" s="188">
        <v>264</v>
      </c>
      <c r="U18" s="188">
        <v>320</v>
      </c>
      <c r="V18" s="188">
        <v>248</v>
      </c>
      <c r="W18" s="188">
        <v>53</v>
      </c>
      <c r="X18" s="194">
        <v>143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304</v>
      </c>
      <c r="AZ18" s="131">
        <f t="shared" si="15"/>
        <v>264</v>
      </c>
      <c r="BA18" s="131">
        <f t="shared" si="15"/>
        <v>320</v>
      </c>
      <c r="BB18" s="131">
        <f t="shared" si="15"/>
        <v>248</v>
      </c>
      <c r="BC18" s="127">
        <f>IF(ISNUMBER(W18),W18," - ")</f>
        <v>53</v>
      </c>
      <c r="BD18" s="128">
        <f>IF(ISNUMBER(BA18/AZ18),BA18/AZ18," - ")</f>
        <v>1.2121212121212122</v>
      </c>
      <c r="BE18" s="129">
        <f>IF(ISNUMBER(BB18/BA18),BB18/BA18, " - ")</f>
        <v>0.77500000000000002</v>
      </c>
      <c r="BF18" s="129">
        <f>IF(ISNUMBER(BC18/BA18),BC18/BA18, " - ")</f>
        <v>0.16562499999999999</v>
      </c>
      <c r="BG18" s="201">
        <f>IF(ISNUMBER((AY18+AZ18)/BA18),(AY18+AZ18)/BA18," - ")</f>
        <v>1.7749999999999999</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4464</v>
      </c>
      <c r="J20" s="189">
        <f t="shared" si="16"/>
        <v>3186</v>
      </c>
      <c r="K20" s="189">
        <f t="shared" si="16"/>
        <v>3399</v>
      </c>
      <c r="L20" s="189">
        <f t="shared" si="16"/>
        <v>4901</v>
      </c>
      <c r="M20" s="189">
        <f t="shared" si="16"/>
        <v>518</v>
      </c>
      <c r="N20" s="189">
        <f t="shared" si="16"/>
        <v>1979</v>
      </c>
      <c r="O20" s="189">
        <f t="shared" si="16"/>
        <v>4</v>
      </c>
      <c r="P20" s="189">
        <f t="shared" si="16"/>
        <v>93</v>
      </c>
      <c r="Q20" s="189">
        <f t="shared" si="16"/>
        <v>83</v>
      </c>
      <c r="R20" s="189">
        <f t="shared" si="16"/>
        <v>295</v>
      </c>
      <c r="S20" s="189">
        <f t="shared" si="16"/>
        <v>5319</v>
      </c>
      <c r="T20" s="189">
        <f t="shared" si="16"/>
        <v>2415</v>
      </c>
      <c r="U20" s="189">
        <f t="shared" si="16"/>
        <v>2851</v>
      </c>
      <c r="V20" s="189">
        <f t="shared" si="16"/>
        <v>4569</v>
      </c>
      <c r="W20" s="189">
        <f t="shared" si="16"/>
        <v>425</v>
      </c>
      <c r="X20" s="189">
        <f t="shared" si="16"/>
        <v>1691</v>
      </c>
      <c r="Y20" s="189">
        <f t="shared" si="16"/>
        <v>0</v>
      </c>
      <c r="Z20" s="189">
        <f t="shared" si="16"/>
        <v>0</v>
      </c>
      <c r="AA20" s="189">
        <f t="shared" si="16"/>
        <v>0</v>
      </c>
      <c r="AB20" s="189">
        <f t="shared" si="16"/>
        <v>0</v>
      </c>
      <c r="AC20" s="189">
        <f t="shared" si="16"/>
        <v>0</v>
      </c>
      <c r="AD20" s="189">
        <f t="shared" si="16"/>
        <v>1</v>
      </c>
      <c r="AE20" s="189">
        <f t="shared" si="16"/>
        <v>1</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5</v>
      </c>
      <c r="AP20" s="189">
        <f t="shared" si="16"/>
        <v>5</v>
      </c>
      <c r="AQ20" s="189">
        <f t="shared" si="16"/>
        <v>5</v>
      </c>
      <c r="AR20" s="189">
        <f t="shared" si="16"/>
        <v>5</v>
      </c>
      <c r="AS20" s="189">
        <f t="shared" si="16"/>
        <v>0</v>
      </c>
      <c r="AT20" s="189">
        <f t="shared" si="16"/>
        <v>0</v>
      </c>
      <c r="AU20" s="209"/>
      <c r="AV20" s="134"/>
      <c r="AW20" s="209"/>
      <c r="AX20" s="134"/>
      <c r="AY20" s="189">
        <f>SUBTOTAL(9,AY15:AY19)</f>
        <v>5319</v>
      </c>
      <c r="AZ20" s="189">
        <f>SUBTOTAL(9,AZ15:AZ19)</f>
        <v>2415</v>
      </c>
      <c r="BA20" s="189">
        <f>SUBTOTAL(9,BA15:BA19)</f>
        <v>2851</v>
      </c>
      <c r="BB20" s="189">
        <f>SUBTOTAL(9,BB15:BB19)</f>
        <v>4569</v>
      </c>
      <c r="BC20" s="189">
        <f>SUBTOTAL(9,BC15:BC19)</f>
        <v>425</v>
      </c>
      <c r="BD20" s="210">
        <f>IF(ISNUMBER(BA20/AZ20),BA20/AZ20," - ")</f>
        <v>1.1805383022774327</v>
      </c>
      <c r="BE20" s="211">
        <f>IF(ISNUMBER(BB20/BA20),BB20/BA20, " - ")</f>
        <v>1.6025955804980709</v>
      </c>
      <c r="BF20" s="211">
        <f>IF(ISNUMBER(BC20/BA20),BC20/BA20, " - ")</f>
        <v>0.14907050157839355</v>
      </c>
      <c r="BG20" s="212">
        <f>IF(ISNUMBER((AY20+AZ20)/BA20),(AY20+AZ20)/BA20," - ")</f>
        <v>2.7127323746054017</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9963</v>
      </c>
      <c r="J21" s="136">
        <f t="shared" si="19"/>
        <v>5278</v>
      </c>
      <c r="K21" s="136">
        <f t="shared" si="19"/>
        <v>5330</v>
      </c>
      <c r="L21" s="136">
        <f t="shared" si="19"/>
        <v>10561</v>
      </c>
      <c r="M21" s="136">
        <f t="shared" si="19"/>
        <v>1237</v>
      </c>
      <c r="N21" s="136">
        <f t="shared" si="19"/>
        <v>2761</v>
      </c>
      <c r="O21" s="136">
        <f t="shared" si="19"/>
        <v>452</v>
      </c>
      <c r="P21" s="136">
        <f t="shared" si="19"/>
        <v>623</v>
      </c>
      <c r="Q21" s="136">
        <f t="shared" si="19"/>
        <v>303</v>
      </c>
      <c r="R21" s="136">
        <f t="shared" si="19"/>
        <v>6812</v>
      </c>
      <c r="S21" s="136">
        <f t="shared" si="19"/>
        <v>10653</v>
      </c>
      <c r="T21" s="136">
        <f t="shared" si="19"/>
        <v>4533</v>
      </c>
      <c r="U21" s="136">
        <f t="shared" si="19"/>
        <v>4979</v>
      </c>
      <c r="V21" s="136">
        <f t="shared" si="19"/>
        <v>9893</v>
      </c>
      <c r="W21" s="136">
        <f t="shared" si="19"/>
        <v>1085</v>
      </c>
      <c r="X21" s="136">
        <f t="shared" si="19"/>
        <v>2320</v>
      </c>
      <c r="Y21" s="136">
        <f t="shared" si="19"/>
        <v>184</v>
      </c>
      <c r="Z21" s="136">
        <f t="shared" si="19"/>
        <v>135</v>
      </c>
      <c r="AA21" s="136">
        <f t="shared" si="19"/>
        <v>156</v>
      </c>
      <c r="AB21" s="136">
        <f t="shared" si="19"/>
        <v>163</v>
      </c>
      <c r="AC21" s="136">
        <f t="shared" si="19"/>
        <v>0</v>
      </c>
      <c r="AD21" s="136">
        <f t="shared" si="19"/>
        <v>1</v>
      </c>
      <c r="AE21" s="136">
        <f t="shared" si="19"/>
        <v>1</v>
      </c>
      <c r="AF21" s="136">
        <f t="shared" si="19"/>
        <v>0</v>
      </c>
      <c r="AG21" s="136">
        <f t="shared" si="19"/>
        <v>228</v>
      </c>
      <c r="AH21" s="136">
        <f t="shared" si="19"/>
        <v>132</v>
      </c>
      <c r="AI21" s="136">
        <f t="shared" si="19"/>
        <v>170</v>
      </c>
      <c r="AJ21" s="136">
        <f t="shared" si="19"/>
        <v>190</v>
      </c>
      <c r="AK21" s="136">
        <f t="shared" si="19"/>
        <v>0</v>
      </c>
      <c r="AL21" s="136">
        <f t="shared" si="19"/>
        <v>0</v>
      </c>
      <c r="AM21" s="136">
        <f t="shared" si="19"/>
        <v>0</v>
      </c>
      <c r="AN21" s="215">
        <f t="shared" si="19"/>
        <v>0</v>
      </c>
      <c r="AO21" s="216">
        <v>10</v>
      </c>
      <c r="AP21" s="216">
        <v>10</v>
      </c>
      <c r="AQ21" s="216">
        <v>10</v>
      </c>
      <c r="AR21" s="216">
        <v>10</v>
      </c>
      <c r="AS21" s="158">
        <f t="shared" si="19"/>
        <v>0</v>
      </c>
      <c r="AT21" s="158">
        <f t="shared" si="19"/>
        <v>0</v>
      </c>
      <c r="AU21" s="216"/>
      <c r="AV21" s="217"/>
      <c r="AW21" s="216"/>
      <c r="AX21" s="217"/>
      <c r="AY21" s="135">
        <f>SUBTOTAL(9,AY9:AY20)</f>
        <v>10881</v>
      </c>
      <c r="AZ21" s="136">
        <f>SUBTOTAL(9,AZ9:AZ20)</f>
        <v>4665</v>
      </c>
      <c r="BA21" s="136">
        <f>SUBTOTAL(9,BA9:BA20)</f>
        <v>5149</v>
      </c>
      <c r="BB21" s="136">
        <f>SUBTOTAL(9,BB9:BB20)</f>
        <v>10083</v>
      </c>
      <c r="BC21" s="137">
        <f>SUBTOTAL(9,BC9:BC20)</f>
        <v>1054</v>
      </c>
      <c r="BD21" s="218">
        <f>IF(ISNUMBER(BA21/AZ21),BA21/AZ21," - ")</f>
        <v>1.1037513397642016</v>
      </c>
      <c r="BE21" s="215">
        <f>IF(ISNUMBER(BB21/BA21),BB21/BA21, " - ")</f>
        <v>1.9582443192852981</v>
      </c>
      <c r="BF21" s="215">
        <f>IF(ISNUMBER(BC21/BA21),BC21/BA21, " - ")</f>
        <v>0.20469994173625947</v>
      </c>
      <c r="BG21" s="137">
        <f>IF(ISNUMBER((AY21+AZ21)/BA21),(AY21+AZ21)/BA21," - ")</f>
        <v>3.0192270343756071</v>
      </c>
      <c r="BH21" s="216">
        <f>SUBTOTAL(9,BH9:BH20)</f>
        <v>11</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jpnZLyes5PPbJX4c1SRWEht8b8qJ3VK2drjNvJN6HyusEUiX6/G1D3D2tXTUvRUOzCJMIRc6ur1acWhUumXw==" saltValue="yGG8JcCgnEfQ3C2s0EtTv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6HqbFrZBaKTIabQKKSsPTBm3aiD+Z+ap9iiF1nAfWXKlFUiiOTm+woIHBVKCjJofsVGtRo+bh4uyurB2d7Qhg==" saltValue="0S+z2wYfsTNkwEwcsi0YZ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ISLAS BALEARES</v>
      </c>
      <c r="F1" s="532"/>
    </row>
    <row r="2" spans="1:74" ht="16.5" customHeight="1">
      <c r="C2" s="521" t="str">
        <f>Criterios!A10 &amp;"  "&amp;Criterios!B10 &amp; "  " &amp; IF(NOT(ISBLANK(Criterios!A11)),Criterios!A11 &amp;"  "&amp;Criterios!B11,"")</f>
        <v>Provincias  ILLES BALEARS  Resumenes por Partidos Judiciales  EIVISSA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5</v>
      </c>
      <c r="B9" s="653" t="s">
        <v>273</v>
      </c>
      <c r="C9" s="671" t="str">
        <f>Datos!A9</f>
        <v xml:space="preserve">Jdos. 1ª Instancia   </v>
      </c>
      <c r="D9" s="544"/>
      <c r="E9" s="670">
        <f>IF(ISNUMBER(Datos!AQ9),Datos!AQ9," - ")</f>
        <v>5</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135</v>
      </c>
      <c r="O9" s="504"/>
      <c r="P9" s="504"/>
      <c r="Q9" s="502">
        <f>IF(ISNUMBER(Datos!P9),Datos!P9,0)</f>
        <v>527</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219</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163</v>
      </c>
      <c r="AI9" s="504" t="str">
        <f>IF(ISNUMBER(Datos!CD9),Datos!CD9,"-")</f>
        <v>-</v>
      </c>
      <c r="AJ9" s="504" t="str">
        <f>IF(ISNUMBER(Datos!EN9),Datos!EN9," - ")</f>
        <v xml:space="preserve"> - </v>
      </c>
      <c r="AK9" s="504"/>
      <c r="AL9" s="505"/>
      <c r="AM9" s="672">
        <f>IF(ISNUMBER(Datos!R9),Datos!R9," - ")</f>
        <v>6492</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716</v>
      </c>
      <c r="BD9" s="620">
        <f>IF(ISNUMBER(Datos!N9),Datos!N9," - ")</f>
        <v>777</v>
      </c>
      <c r="BE9" s="620" t="str">
        <f>IF(ISNUMBER(Datos!BW9),Datos!BW9," - ")</f>
        <v xml:space="preserve"> - </v>
      </c>
      <c r="BF9" s="668" t="str">
        <f>IF(ISNUMBER(Datos!BX9),Datos!BX9," - ")</f>
        <v xml:space="preserve"> - </v>
      </c>
      <c r="BG9" s="669">
        <f>IF(ISNUMBER(IF(J_V="SI",Datos!K9/Datos!J9,(Datos!K9+Datos!AA9)/(Datos!J9+Datos!Z9))),IF(J_V="SI",Datos!K9/Datos!J9,(Datos!K9+Datos!AA9)/(Datos!J9+Datos!Z9))," - ")</f>
        <v>0.94782608695652171</v>
      </c>
      <c r="BH9" s="670">
        <f>IF(ISNUMBER(((IF(J_V="SI",Datos!L9/Datos!K9,(Datos!L9+Datos!AB9)/(Datos!K9+Datos!AA9)))*11)/factor_trimestre),((IF(J_V="SI",Datos!L9/Datos!K9,(Datos!L9+Datos!AB9)/(Datos!K9+Datos!AA9)))*11)/factor_trimestre," - ")</f>
        <v>8.2308063737324968</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4.9805950840879687E-2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115</v>
      </c>
      <c r="G10" s="498">
        <f>IF(ISNUMBER(Datos!I10),Datos!I10," - ")</f>
        <v>115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3</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16</v>
      </c>
      <c r="AC10" s="502">
        <f>IF(ISNUMBER(Datos!Q10),Datos!Q10," - ")</f>
        <v>1</v>
      </c>
      <c r="AD10" s="504"/>
      <c r="AE10" s="517"/>
      <c r="AF10" s="506">
        <f>IF(ISNUMBER(Datos!L10),Datos!L10,"-")</f>
        <v>141</v>
      </c>
      <c r="AG10" s="504"/>
      <c r="AH10" s="504"/>
      <c r="AI10" s="504"/>
      <c r="AJ10" s="504"/>
      <c r="AK10" s="504"/>
      <c r="AL10" s="505"/>
      <c r="AM10" s="672">
        <f>IF(ISNUMBER(Datos!R10),Datos!R10," - ")</f>
        <v>25</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3</v>
      </c>
      <c r="BD10" s="620">
        <f>IF(ISNUMBER(Datos!N10),Datos!N10," - ")</f>
        <v>5</v>
      </c>
      <c r="BE10" s="620" t="str">
        <f>IF(ISNUMBER(Datos!BW10),Datos!BW10," - ")</f>
        <v xml:space="preserve"> - </v>
      </c>
      <c r="BF10" s="668" t="str">
        <f>IF(ISNUMBER(Datos!BX10),Datos!BX10," - ")</f>
        <v xml:space="preserve"> - </v>
      </c>
      <c r="BG10" s="669">
        <f>IF(ISNUMBER(Datos!K10/Datos!J10),Datos!K10/Datos!J10," - ")</f>
        <v>0.38095238095238093</v>
      </c>
      <c r="BH10" s="670">
        <f>IF(ISNUMBER(((Datos!L10/Datos!K10)*11)/factor_trimestre),((Datos!L10/Datos!K10)*11)/factor_trimestre," - ")</f>
        <v>26.4375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8.6956521739130432E-2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6</v>
      </c>
      <c r="F14" s="1045">
        <f t="shared" si="1"/>
        <v>115</v>
      </c>
      <c r="G14" s="1045">
        <f t="shared" si="1"/>
        <v>115</v>
      </c>
      <c r="H14" s="1046">
        <f t="shared" si="1"/>
        <v>0</v>
      </c>
      <c r="I14" s="1045">
        <f t="shared" si="1"/>
        <v>0</v>
      </c>
      <c r="J14" s="1014">
        <f t="shared" si="1"/>
        <v>0</v>
      </c>
      <c r="K14" s="1014">
        <f t="shared" si="1"/>
        <v>0</v>
      </c>
      <c r="L14" s="1046">
        <f t="shared" si="1"/>
        <v>0</v>
      </c>
      <c r="M14" s="1046">
        <f t="shared" si="1"/>
        <v>0</v>
      </c>
      <c r="N14" s="1046">
        <f t="shared" si="1"/>
        <v>135</v>
      </c>
      <c r="O14" s="1047">
        <f t="shared" si="1"/>
        <v>0</v>
      </c>
      <c r="P14" s="1047">
        <f t="shared" si="1"/>
        <v>0</v>
      </c>
      <c r="Q14" s="1046">
        <f t="shared" si="1"/>
        <v>530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16</v>
      </c>
      <c r="AC14" s="1046">
        <f t="shared" si="2"/>
        <v>220</v>
      </c>
      <c r="AD14" s="1046">
        <f t="shared" si="2"/>
        <v>0</v>
      </c>
      <c r="AE14" s="1046">
        <f t="shared" si="2"/>
        <v>0</v>
      </c>
      <c r="AF14" s="1046">
        <f t="shared" si="2"/>
        <v>141</v>
      </c>
      <c r="AG14" s="1046">
        <f t="shared" si="2"/>
        <v>0</v>
      </c>
      <c r="AH14" s="1046">
        <f t="shared" si="2"/>
        <v>163</v>
      </c>
      <c r="AI14" s="1046">
        <f t="shared" si="2"/>
        <v>0</v>
      </c>
      <c r="AJ14" s="1046">
        <f t="shared" si="2"/>
        <v>0</v>
      </c>
      <c r="AK14" s="1046">
        <f t="shared" si="2"/>
        <v>0</v>
      </c>
      <c r="AL14" s="1046">
        <f t="shared" si="2"/>
        <v>0</v>
      </c>
      <c r="AM14" s="1046">
        <f t="shared" si="2"/>
        <v>6517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719</v>
      </c>
      <c r="BD14" s="1046">
        <f t="shared" si="2"/>
        <v>782</v>
      </c>
      <c r="BE14" s="1046">
        <f t="shared" si="2"/>
        <v>0</v>
      </c>
      <c r="BF14" s="1046">
        <f t="shared" si="2"/>
        <v>0</v>
      </c>
      <c r="BG14" s="1046">
        <f>IF(ISNUMBER(Datos!K14/Datos!J14),Datos!K14/Datos!J14," - ")</f>
        <v>0.92304015296367115</v>
      </c>
      <c r="BH14" s="1050">
        <f>IF(ISNUMBER(((Datos!L14/Datos!K14)*11)/factor_trimestre),((Datos!L14/Datos!K14)*11)/factor_trimestre," - ")</f>
        <v>8.7933713102019677</v>
      </c>
      <c r="BI14" s="1046">
        <f>IF(ISNUMBER('Resol  Asuntos'!D14/NºAsuntos!G14),'Resol  Asuntos'!D14/NºAsuntos!G14," - ")</f>
        <v>0.34451365596550071</v>
      </c>
      <c r="BJ14" s="1046" t="str">
        <f>IF(ISNUMBER(Datos!CI14/Datos!CJ14),Datos!CI14/Datos!CJ14," - ")</f>
        <v xml:space="preserve"> - </v>
      </c>
      <c r="BK14" s="1046">
        <f>SUBTOTAL(9,BK8:BK13)</f>
        <v>0</v>
      </c>
      <c r="BL14" s="1046">
        <f>IF(ISNUMBER((I14-AB14+L14)/(F14)),(I14-AB14+L14)/(F14)," - ")</f>
        <v>-0.1391304347826087</v>
      </c>
      <c r="BM14" s="1051">
        <f>SUBTOTAL(9,BM9:BM13)</f>
        <v>0.13676247258001012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4</v>
      </c>
      <c r="B16" s="647" t="s">
        <v>437</v>
      </c>
      <c r="C16" s="657" t="str">
        <f>Datos!A16</f>
        <v xml:space="preserve">Jdos. Instrucción                               </v>
      </c>
      <c r="D16" s="658"/>
      <c r="E16" s="1334">
        <f>IF(ISNUMBER(Datos!AQ16),Datos!AQ16," - ")</f>
        <v>4</v>
      </c>
      <c r="F16" s="648">
        <f>IF(ISNUMBER(AF16+AB16-Datos!J16-L16),AF16+AB16-Datos!J16-L16," - ")</f>
        <v>4801</v>
      </c>
      <c r="G16" s="651">
        <f>IF(ISNUMBER(IF(D_I="SI",Datos!I16,Datos!I16+Datos!AC16)),IF(D_I="SI",Datos!I16,Datos!I16+Datos!AC16)," - ")</f>
        <v>4153</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82</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3048</v>
      </c>
      <c r="AC16" s="231">
        <f>IF(ISNUMBER(Datos!Q16),Datos!Q16," - ")</f>
        <v>79</v>
      </c>
      <c r="AD16" s="344"/>
      <c r="AE16" s="516"/>
      <c r="AF16" s="649">
        <f>IF(ISNUMBER(IF(D_I="SI",Datos!L16,Datos!L16+Datos!AF16)),IF(D_I="SI",Datos!L16,Datos!L16+Datos!AF16)," - ")</f>
        <v>4617</v>
      </c>
      <c r="AG16" s="344"/>
      <c r="AH16" s="344"/>
      <c r="AI16" s="344"/>
      <c r="AJ16" s="504"/>
      <c r="AK16" s="344"/>
      <c r="AL16" s="500"/>
      <c r="AM16" s="345">
        <f>IF(ISNUMBER(Datos!R16),Datos!R16," - ")</f>
        <v>281</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473</v>
      </c>
      <c r="BD16" s="234">
        <f>IF(ISNUMBER(Datos!N16),Datos!N16," - ")</f>
        <v>1796</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1.0642458100558658</v>
      </c>
      <c r="BH16" s="670">
        <f>IF(ISNUMBER(((IF(D_I="SI",Datos!L16/Datos!K16,(Datos!L16+Datos!AF16)/(Datos!K16+Datos!AE16)))*11)/factor_trimestre),((IF(D_I="SI",Datos!L16/Datos!K16,(Datos!L16+Datos!AF16)/(Datos!K16+Datos!AE16)))*11)/factor_trimestre," - ")</f>
        <v>4.5442913385826769</v>
      </c>
      <c r="BI16" s="248">
        <f>IF(ISNUMBER('Resol  Asuntos'!D16/NºAsuntos!G16),'Resol  Asuntos'!D16/NºAsuntos!G16," - ")</f>
        <v>0.15518372703412073</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311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351</v>
      </c>
      <c r="AC18" s="502">
        <f>IF(ISNUMBER(Datos!Q18),Datos!Q18," - ")</f>
        <v>4</v>
      </c>
      <c r="AD18" s="504"/>
      <c r="AE18" s="516"/>
      <c r="AF18" s="506">
        <f>IF(ISNUMBER(Datos!L18),Datos!L18,"-")</f>
        <v>284</v>
      </c>
      <c r="AG18" s="504"/>
      <c r="AH18" s="504"/>
      <c r="AI18" s="504"/>
      <c r="AJ18" s="504"/>
      <c r="AK18" s="504"/>
      <c r="AL18" s="505"/>
      <c r="AM18" s="672">
        <f>IF(ISNUMBER(Datos!R18),Datos!R18," - ")</f>
        <v>14</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45</v>
      </c>
      <c r="BD18" s="620">
        <f>IF(ISNUMBER(Datos!N18),Datos!N18," - ")</f>
        <v>183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1.0900621118012421</v>
      </c>
      <c r="BH18" s="670">
        <f>IF(ISNUMBER(((IF(D_I="SI",Datos!L18/Datos!K18,(Datos!L18+Datos!AF18)/(Datos!K18+Datos!AE18)))*11)/factor_trimestre),((IF(D_I="SI",Datos!L18/Datos!K18,(Datos!L18+Datos!AF18)/(Datos!K18+Datos!AE18)))*11)/factor_trimestre," - ")</f>
        <v>2.4273504273504272</v>
      </c>
      <c r="BI18" s="669">
        <f>IF(ISNUMBER('Resol  Asuntos'!D18/NºAsuntos!G18),'Resol  Asuntos'!D18/NºAsuntos!G18," - ")</f>
        <v>0.12820512820512819</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4801</v>
      </c>
      <c r="G20" s="1045">
        <f>SUBTOTAL(9,G16:G19)</f>
        <v>4464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93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3399</v>
      </c>
      <c r="AC20" s="1046">
        <f t="shared" si="5"/>
        <v>83</v>
      </c>
      <c r="AD20" s="1046">
        <f t="shared" si="5"/>
        <v>0</v>
      </c>
      <c r="AE20" s="1046">
        <f t="shared" si="5"/>
        <v>0</v>
      </c>
      <c r="AF20" s="1046">
        <f t="shared" si="5"/>
        <v>4901</v>
      </c>
      <c r="AG20" s="1046">
        <f t="shared" si="5"/>
        <v>0</v>
      </c>
      <c r="AH20" s="1046">
        <f t="shared" si="5"/>
        <v>0</v>
      </c>
      <c r="AI20" s="1046">
        <f t="shared" si="5"/>
        <v>0</v>
      </c>
      <c r="AJ20" s="1046">
        <f t="shared" si="5"/>
        <v>0</v>
      </c>
      <c r="AK20" s="1046">
        <f t="shared" si="5"/>
        <v>0</v>
      </c>
      <c r="AL20" s="1046">
        <f t="shared" si="5"/>
        <v>0</v>
      </c>
      <c r="AM20" s="1046">
        <f t="shared" si="5"/>
        <v>295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518</v>
      </c>
      <c r="BD20" s="1046">
        <f t="shared" si="5"/>
        <v>1979</v>
      </c>
      <c r="BE20" s="1046">
        <f t="shared" si="5"/>
        <v>0</v>
      </c>
      <c r="BF20" s="1046">
        <f t="shared" si="5"/>
        <v>0</v>
      </c>
      <c r="BG20" s="1046">
        <f>IF(ISNUMBER(Datos!K20/Datos!J20),Datos!K20/Datos!J20," - ")</f>
        <v>1.0668549905838041</v>
      </c>
      <c r="BH20" s="1050">
        <f>IF(ISNUMBER(((Datos!L20/Datos!K20)*11)/factor_trimestre),((Datos!L20/Datos!K20)*11)/factor_trimestre," - ")</f>
        <v>4.3256840247131514</v>
      </c>
      <c r="BI20" s="1046">
        <f>SUBTOTAL(9,BI16:BI19)</f>
        <v>0.28338885523924895</v>
      </c>
      <c r="BJ20" s="1046">
        <f>SUBTOTAL(9,BJ16:BJ19)</f>
        <v>0</v>
      </c>
      <c r="BK20" s="1046">
        <f>SUBTOTAL(9,BK16:BK19)</f>
        <v>0</v>
      </c>
      <c r="BL20" s="1046">
        <f>IF(ISNUMBER((I20-AB20+L20)/(F20)),(I20-AB20+L20)/(F20)," - ")</f>
        <v>-0.70797750468652365</v>
      </c>
      <c r="BM20" s="1052">
        <f>IF(ISNUMBER((Datos!P20-Datos!Q20)/(Datos!R20-Datos!P20+Datos!Q20)),(Datos!P20-Datos!Q20)/(Datos!R20-Datos!P20+Datos!Q20)," - ")</f>
        <v>3.5087719298245612E-2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11</v>
      </c>
      <c r="F21" s="967">
        <f t="shared" si="7"/>
        <v>4916</v>
      </c>
      <c r="G21" s="967">
        <f t="shared" si="7"/>
        <v>4579</v>
      </c>
      <c r="H21" s="969">
        <f t="shared" si="7"/>
        <v>0</v>
      </c>
      <c r="I21" s="967">
        <f t="shared" si="7"/>
        <v>0</v>
      </c>
      <c r="J21" s="969">
        <f t="shared" si="7"/>
        <v>0</v>
      </c>
      <c r="K21" s="969">
        <f t="shared" si="7"/>
        <v>0</v>
      </c>
      <c r="L21" s="1028">
        <f t="shared" si="7"/>
        <v>0</v>
      </c>
      <c r="M21" s="1028">
        <f t="shared" si="7"/>
        <v>0</v>
      </c>
      <c r="N21" s="1028">
        <f t="shared" si="7"/>
        <v>135</v>
      </c>
      <c r="O21" s="1028">
        <f t="shared" si="7"/>
        <v>0</v>
      </c>
      <c r="P21" s="1028">
        <f t="shared" si="7"/>
        <v>0</v>
      </c>
      <c r="Q21" s="969">
        <f t="shared" si="7"/>
        <v>623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3415</v>
      </c>
      <c r="AC21" s="968">
        <f t="shared" si="8"/>
        <v>303</v>
      </c>
      <c r="AD21" s="968">
        <f t="shared" si="8"/>
        <v>0</v>
      </c>
      <c r="AE21" s="968">
        <f t="shared" si="8"/>
        <v>0</v>
      </c>
      <c r="AF21" s="975">
        <f t="shared" si="8"/>
        <v>5042</v>
      </c>
      <c r="AG21" s="975">
        <f t="shared" si="8"/>
        <v>0</v>
      </c>
      <c r="AH21" s="975">
        <f t="shared" si="8"/>
        <v>163</v>
      </c>
      <c r="AI21" s="975">
        <f t="shared" si="8"/>
        <v>0</v>
      </c>
      <c r="AJ21" s="968">
        <f t="shared" si="8"/>
        <v>0</v>
      </c>
      <c r="AK21" s="975">
        <f t="shared" si="8"/>
        <v>0</v>
      </c>
      <c r="AL21" s="975">
        <f t="shared" si="8"/>
        <v>0</v>
      </c>
      <c r="AM21" s="975">
        <f t="shared" si="8"/>
        <v>6812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1237</v>
      </c>
      <c r="BD21" s="967">
        <f t="shared" si="8"/>
        <v>2761</v>
      </c>
      <c r="BE21" s="967">
        <f t="shared" si="8"/>
        <v>0</v>
      </c>
      <c r="BF21" s="977">
        <f t="shared" si="8"/>
        <v>0</v>
      </c>
      <c r="BG21" s="1062">
        <f>IF(ISNUMBER(Datos!K21/Datos!J21),Datos!K21/Datos!J21," - ")</f>
        <v>1.0098522167487685</v>
      </c>
      <c r="BH21" s="1062">
        <f>IF(ISNUMBER(((Datos!L21/Datos!K21)*11)/factor_trimestre),((Datos!L21/Datos!K21)*11)/factor_trimestre," - ")</f>
        <v>5.9442776735459661</v>
      </c>
      <c r="BI21" s="960">
        <f>IF(ISNUMBER(Datos!J21/Datos!I21),Datos!J21/Datos!I21," - ")</f>
        <v>0.52976011241593901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-0.69467046379170061</v>
      </c>
      <c r="BM21" s="1036">
        <f>IF(ISNUMBER((Datos!P21-Datos!Q21+R21)/(Datos!R21-Datos!P21+Datos!Q21-R21)),(Datos!P21-Datos!Q21+R21)/(Datos!R21-Datos!P21+Datos!Q21-R21)," - ")</f>
        <v>4.9291435613062227E-2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1831.6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2.4494897427831779</v>
      </c>
      <c r="F23" s="600">
        <f>IF(ISNUMBER(STDEV(F8:F20)),STDEV(F8:F20),"-")</f>
        <v>2705.4633614225863</v>
      </c>
      <c r="G23" s="601">
        <f>IF(ISNUMBER(STDEV(G8:G20)),STDEV(G8:G20),"-")</f>
        <v>2265.1756664771056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1705.6844667171006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317.36141332346421</v>
      </c>
      <c r="BD23" s="600"/>
      <c r="BE23" s="600">
        <f>IF(ISNUMBER(STDEV(BE8:BE20)),STDEV(BE8:BE20),"-")</f>
        <v>0</v>
      </c>
      <c r="BF23" s="605">
        <f>IF(ISNUMBER(STDEV(BF8:BF20)),STDEV(BF8:BF20),"-")</f>
        <v>0</v>
      </c>
      <c r="BG23" s="915">
        <f>IF(ISNUMBER(STDEV(BG8:BG20)),STDEV(BG8:BG20),"-")</f>
        <v>0.2691771821903467</v>
      </c>
      <c r="BH23" s="919">
        <f>IF(ISNUMBER(STDEV(BH8:BH20)),STDEV(BH8:BH20),"-")</f>
        <v>8.8261774063086786</v>
      </c>
      <c r="BI23" s="254">
        <f>IF(ISNUMBER(STDEV(BI8:BI20)),STDEV(BI8:BI20),"-")</f>
        <v>0.10312526010630431</v>
      </c>
      <c r="BJ23" s="235" t="str">
        <f>IF(ISNUMBER(BL23/BM23),BL23/BM23," - ")</f>
        <v xml:space="preserve"> - </v>
      </c>
      <c r="BK23" s="627"/>
      <c r="BL23" s="608">
        <f>IF(ISNUMBER(STDEV(BL8:BL20)),STDEV(BL8:BL20),"-")</f>
        <v>0.40223562058715623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U++PNyVOQcNY8+ONc2qqbljtsSrVP6NLFykyephn5v8Dw7QdWpIfVJ8ePVafSnOtAJNVVg/ScSHCoEKSaepgLA==" saltValue="odabHU4IZrEA7I8suEdMd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ISLAS BALEARES</v>
      </c>
    </row>
    <row r="2" spans="1:73" ht="16.5" customHeight="1">
      <c r="C2" s="575" t="str">
        <f>Criterios!A10 &amp;"  "&amp;Criterios!B10 &amp; "  " &amp; IF(NOT(ISBLANK(Criterios!A11)),Criterios!A11 &amp;"  "&amp;Criterios!B11,"")</f>
        <v>Provincias  ILLES BALEARS  Resumenes por Partidos Judiciales  EIVISSA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5</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527</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219</v>
      </c>
      <c r="AA9" s="506" t="str">
        <f>IF(ISNUMBER(IF(J_V="SI",Datos!L9,Datos!L9+Datos!AB9)-IF(Monitorios="SI",Datos!CD9,0)),
                          IF(J_V="SI",Datos!L9,Datos!L9+Datos!AB9)-IF(Monitorios="SI",Datos!CD9,0),
                          " - ")</f>
        <v xml:space="preserve"> - </v>
      </c>
      <c r="AB9" s="504"/>
      <c r="AC9" s="504"/>
      <c r="AD9" s="517"/>
      <c r="AE9" s="517">
        <f>IF(ISNUMBER(Datos!R9),Datos!R9," - ")</f>
        <v>6492</v>
      </c>
      <c r="AF9" s="620" t="str">
        <f>IF(ISNUMBER(Datos!BV9),Datos!BV9," - ")</f>
        <v xml:space="preserve"> - </v>
      </c>
      <c r="AG9" s="507" t="str">
        <f>IF(ISNUMBER(Datos!DV9),Datos!DV9," - ")</f>
        <v xml:space="preserve"> - </v>
      </c>
      <c r="AH9" s="508"/>
      <c r="AI9" s="509"/>
      <c r="AJ9" s="507">
        <f>IF(ISNUMBER(Datos!M9),Datos!M9," - ")</f>
        <v>716</v>
      </c>
      <c r="AK9" s="620">
        <f>IF(ISNUMBER(Datos!N9),Datos!N9," - ")</f>
        <v>777</v>
      </c>
      <c r="AL9" s="620" t="str">
        <f>IF(ISNUMBER(Datos!BW9),Datos!BW9," - ")</f>
        <v xml:space="preserve"> - </v>
      </c>
      <c r="AM9" s="668" t="str">
        <f>IF(ISNUMBER(Datos!BX9),Datos!BX9," - ")</f>
        <v xml:space="preserve"> - </v>
      </c>
      <c r="AN9" s="669"/>
      <c r="AO9" s="670">
        <f>IF(ISNUMBER(((NºAsuntos!I9/NºAsuntos!G9)*11)/factor_trimestre),((NºAsuntos!I9/NºAsuntos!G9)*11)/factor_trimestre," - ")</f>
        <v>8.2308063737324968</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4.9805950840879687E-2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115</v>
      </c>
      <c r="G10" s="507">
        <f>IF(ISNUMBER(Datos!I10),Datos!I10," - ")</f>
        <v>115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3</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16</v>
      </c>
      <c r="Z10" s="704">
        <f>IF(ISNUMBER(Datos!Q10),Datos!Q10," - ")</f>
        <v>1</v>
      </c>
      <c r="AA10" s="506">
        <f>IF(ISNUMBER(Datos!L10),Datos!L10,"-")</f>
        <v>141</v>
      </c>
      <c r="AB10" s="504"/>
      <c r="AC10" s="504"/>
      <c r="AD10" s="517"/>
      <c r="AE10" s="517">
        <f>IF(ISNUMBER(Datos!R10),Datos!R10," - ")</f>
        <v>25</v>
      </c>
      <c r="AF10" s="620" t="str">
        <f>IF(ISNUMBER(Datos!BV10),Datos!BV10," - ")</f>
        <v xml:space="preserve"> - </v>
      </c>
      <c r="AG10" s="507" t="str">
        <f>IF(ISNUMBER(Datos!DV10),Datos!DV10," - ")</f>
        <v xml:space="preserve"> - </v>
      </c>
      <c r="AH10" s="508"/>
      <c r="AI10" s="509"/>
      <c r="AJ10" s="507">
        <f>IF(ISNUMBER(Datos!M10),Datos!M10," - ")</f>
        <v>3</v>
      </c>
      <c r="AK10" s="620">
        <f>IF(ISNUMBER(Datos!N10),Datos!N10," - ")</f>
        <v>5</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26.4375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8.6956521739130432E-2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6</v>
      </c>
      <c r="F14" s="1045">
        <f>SUBTOTAL(9,F8:F13)</f>
        <v>115</v>
      </c>
      <c r="G14" s="1045">
        <f>SUBTOTAL(9,G8:G13)</f>
        <v>115</v>
      </c>
      <c r="H14" s="1055"/>
      <c r="I14" s="1045">
        <f t="shared" ref="I14:N14" si="1">SUBTOTAL(9,I8:I13)</f>
        <v>0</v>
      </c>
      <c r="J14" s="1014">
        <f t="shared" si="1"/>
        <v>0</v>
      </c>
      <c r="K14" s="1055">
        <f t="shared" si="1"/>
        <v>0</v>
      </c>
      <c r="L14" s="1055">
        <f t="shared" si="1"/>
        <v>0</v>
      </c>
      <c r="M14" s="1055">
        <f t="shared" si="1"/>
        <v>0</v>
      </c>
      <c r="N14" s="1055">
        <f t="shared" si="1"/>
        <v>530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16</v>
      </c>
      <c r="Z14" s="1054">
        <f t="shared" si="3"/>
        <v>220</v>
      </c>
      <c r="AA14" s="1047">
        <f t="shared" si="3"/>
        <v>141</v>
      </c>
      <c r="AB14" s="1047">
        <f t="shared" si="3"/>
        <v>0</v>
      </c>
      <c r="AC14" s="1047">
        <f t="shared" si="3"/>
        <v>0</v>
      </c>
      <c r="AD14" s="1047">
        <f t="shared" si="3"/>
        <v>0</v>
      </c>
      <c r="AE14" s="1047">
        <f t="shared" si="3"/>
        <v>6517</v>
      </c>
      <c r="AF14" s="1055">
        <f t="shared" si="3"/>
        <v>0</v>
      </c>
      <c r="AG14" s="1055">
        <f t="shared" si="3"/>
        <v>0</v>
      </c>
      <c r="AH14" s="1055">
        <f t="shared" si="3"/>
        <v>0</v>
      </c>
      <c r="AI14" s="1055">
        <f t="shared" si="3"/>
        <v>0</v>
      </c>
      <c r="AJ14" s="1055">
        <f t="shared" si="3"/>
        <v>719</v>
      </c>
      <c r="AK14" s="1055">
        <f t="shared" si="3"/>
        <v>782</v>
      </c>
      <c r="AL14" s="1055">
        <f t="shared" si="3"/>
        <v>0</v>
      </c>
      <c r="AM14" s="1055">
        <f t="shared" si="3"/>
        <v>0</v>
      </c>
      <c r="AN14" s="1055">
        <f t="shared" si="3"/>
        <v>0</v>
      </c>
      <c r="AO14" s="1051">
        <f>IF(ISNUMBER(((NºAsuntos!I14/NºAsuntos!G14)*11)/factor_trimestre),((NºAsuntos!I14/NºAsuntos!G14)*11)/factor_trimestre," - ")</f>
        <v>8.3703881169142313</v>
      </c>
      <c r="AP14" s="1057" t="str">
        <f>IF(ISNUMBER(Datos!CI14/Datos!CJ14),Datos!CI14/Datos!CJ14," - ")</f>
        <v xml:space="preserve"> - </v>
      </c>
      <c r="AQ14" s="1075">
        <f t="shared" ref="AQ14:AV14" si="4">SUBTOTAL(9,AQ9:AQ13)</f>
        <v>0</v>
      </c>
      <c r="AR14" s="1075">
        <f t="shared" si="4"/>
        <v>0.13676247258001012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4</v>
      </c>
      <c r="B16" s="654" t="s">
        <v>437</v>
      </c>
      <c r="C16" s="671" t="str">
        <f>Datos!A16</f>
        <v xml:space="preserve">Jdos. Instrucción                               </v>
      </c>
      <c r="D16" s="544"/>
      <c r="E16" s="1337">
        <f>IF(ISNUMBER(Datos!AQ16),Datos!AQ16," - ")</f>
        <v>4</v>
      </c>
      <c r="F16" s="498">
        <f>IF(ISNUMBER(AA16+Y16-Datos!J16-K16),AA16+Y16-Datos!J16-K16," - ")</f>
        <v>4801</v>
      </c>
      <c r="G16" s="507">
        <f>IF(ISNUMBER(IF(D_I="SI",Datos!I16,Datos!I16+Datos!AC16)),IF(D_I="SI",Datos!I16,Datos!I16+Datos!AC16)," - ")</f>
        <v>4153</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82</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3048</v>
      </c>
      <c r="Z16" s="704">
        <f>IF(ISNUMBER(Datos!Q16),Datos!Q16," - ")</f>
        <v>79</v>
      </c>
      <c r="AA16" s="506">
        <f>IF(ISNUMBER(IF(D_I="SI",Datos!L16,Datos!L16+Datos!AF16)),IF(D_I="SI",Datos!L16,Datos!L16+Datos!AF16)," - ")</f>
        <v>4617</v>
      </c>
      <c r="AB16" s="504"/>
      <c r="AC16" s="504"/>
      <c r="AD16" s="517"/>
      <c r="AE16" s="517">
        <f>IF(ISNUMBER(Datos!R16),Datos!R16," - ")</f>
        <v>281</v>
      </c>
      <c r="AF16" s="620" t="str">
        <f>IF(ISNUMBER(Datos!BV16),Datos!BV16," - ")</f>
        <v xml:space="preserve"> - </v>
      </c>
      <c r="AG16" s="507"/>
      <c r="AH16" s="508"/>
      <c r="AI16" s="509"/>
      <c r="AJ16" s="507">
        <f>IF(ISNUMBER(Datos!M16),Datos!M16," - ")</f>
        <v>473</v>
      </c>
      <c r="AK16" s="620">
        <f>IF(ISNUMBER(Datos!N16),Datos!N16," - ")</f>
        <v>1796</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4.5442913385826769</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311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351</v>
      </c>
      <c r="Z18" s="704">
        <f>IF(ISNUMBER(Datos!Q18),Datos!Q18," - ")</f>
        <v>4</v>
      </c>
      <c r="AA18" s="506">
        <f>IF(ISNUMBER(Datos!L18),Datos!L18,"-")</f>
        <v>284</v>
      </c>
      <c r="AB18" s="504"/>
      <c r="AC18" s="504"/>
      <c r="AD18" s="517"/>
      <c r="AE18" s="517">
        <f>IF(ISNUMBER(Datos!R18),Datos!R18," - ")</f>
        <v>14</v>
      </c>
      <c r="AF18" s="620" t="str">
        <f>IF(ISNUMBER(Datos!BV18),Datos!BV18," - ")</f>
        <v xml:space="preserve"> - </v>
      </c>
      <c r="AG18" s="507" t="str">
        <f>IF(ISNUMBER(Datos!DV18),Datos!DV18," - ")</f>
        <v xml:space="preserve"> - </v>
      </c>
      <c r="AH18" s="508"/>
      <c r="AI18" s="509"/>
      <c r="AJ18" s="507">
        <f>IF(ISNUMBER(Datos!M18),Datos!M18," - ")</f>
        <v>45</v>
      </c>
      <c r="AK18" s="620">
        <f>IF(ISNUMBER(Datos!N18),Datos!N18," - ")</f>
        <v>183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2.4273504273504272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4801</v>
      </c>
      <c r="G20" s="1045">
        <f>SUBTOTAL(9,G16:G19)</f>
        <v>4464</v>
      </c>
      <c r="H20" s="1079">
        <f>SUBTOTAL(9,H16:H19)</f>
        <v>0</v>
      </c>
      <c r="I20" s="1058">
        <f>SUBTOTAL(9,I16:I19)</f>
        <v>0</v>
      </c>
      <c r="J20" s="1014">
        <f>SUBTOTAL(9,J15:J19)</f>
        <v>0</v>
      </c>
      <c r="K20" s="1079">
        <f t="shared" ref="K20:S20" si="5">SUBTOTAL(9,K16:K19)</f>
        <v>0</v>
      </c>
      <c r="L20" s="1079">
        <f t="shared" si="5"/>
        <v>0</v>
      </c>
      <c r="M20" s="1079">
        <f t="shared" si="5"/>
        <v>0</v>
      </c>
      <c r="N20" s="1079">
        <f t="shared" si="5"/>
        <v>93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3399</v>
      </c>
      <c r="Z20" s="1079">
        <f t="shared" si="6"/>
        <v>83</v>
      </c>
      <c r="AA20" s="1079">
        <f t="shared" si="6"/>
        <v>4901</v>
      </c>
      <c r="AB20" s="1079">
        <f t="shared" si="6"/>
        <v>0</v>
      </c>
      <c r="AC20" s="1079">
        <f t="shared" si="6"/>
        <v>0</v>
      </c>
      <c r="AD20" s="1079">
        <f t="shared" si="6"/>
        <v>0</v>
      </c>
      <c r="AE20" s="1079">
        <f t="shared" si="6"/>
        <v>295</v>
      </c>
      <c r="AF20" s="1079">
        <f t="shared" si="6"/>
        <v>0</v>
      </c>
      <c r="AG20" s="1079">
        <f t="shared" si="6"/>
        <v>0</v>
      </c>
      <c r="AH20" s="1079">
        <f t="shared" si="6"/>
        <v>0</v>
      </c>
      <c r="AI20" s="1079">
        <f t="shared" si="6"/>
        <v>0</v>
      </c>
      <c r="AJ20" s="1079">
        <f t="shared" si="6"/>
        <v>518</v>
      </c>
      <c r="AK20" s="1079">
        <f t="shared" si="6"/>
        <v>1979</v>
      </c>
      <c r="AL20" s="1079">
        <f t="shared" si="6"/>
        <v>0</v>
      </c>
      <c r="AM20" s="1079">
        <f t="shared" si="6"/>
        <v>0</v>
      </c>
      <c r="AN20" s="1079">
        <f t="shared" si="6"/>
        <v>0</v>
      </c>
      <c r="AO20" s="1081">
        <f>IF(ISNUMBER(((NºAsuntos!I20/NºAsuntos!G20)*11)/factor_trimestre),((NºAsuntos!I20/NºAsuntos!G20)*11)/factor_trimestre," - ")</f>
        <v>4.3256840247131514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11</v>
      </c>
      <c r="F21" s="967">
        <f t="shared" si="8"/>
        <v>4916</v>
      </c>
      <c r="G21" s="967">
        <f t="shared" si="8"/>
        <v>4579</v>
      </c>
      <c r="H21" s="968">
        <f t="shared" si="8"/>
        <v>0</v>
      </c>
      <c r="I21" s="967">
        <f t="shared" si="8"/>
        <v>0</v>
      </c>
      <c r="J21" s="969">
        <f t="shared" si="8"/>
        <v>0</v>
      </c>
      <c r="K21" s="967">
        <f t="shared" si="8"/>
        <v>0</v>
      </c>
      <c r="L21" s="970">
        <f t="shared" si="8"/>
        <v>0</v>
      </c>
      <c r="M21" s="967">
        <f t="shared" si="8"/>
        <v>0</v>
      </c>
      <c r="N21" s="968">
        <f t="shared" si="8"/>
        <v>623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3415</v>
      </c>
      <c r="Z21" s="974">
        <f t="shared" si="9"/>
        <v>303</v>
      </c>
      <c r="AA21" s="975">
        <f t="shared" si="9"/>
        <v>5042</v>
      </c>
      <c r="AB21" s="975">
        <f t="shared" si="9"/>
        <v>0</v>
      </c>
      <c r="AC21" s="975">
        <f t="shared" si="9"/>
        <v>0</v>
      </c>
      <c r="AD21" s="976">
        <f t="shared" si="9"/>
        <v>0</v>
      </c>
      <c r="AE21" s="976">
        <f t="shared" si="9"/>
        <v>6812</v>
      </c>
      <c r="AF21" s="977">
        <f t="shared" si="9"/>
        <v>0</v>
      </c>
      <c r="AG21" s="978">
        <f t="shared" si="9"/>
        <v>0</v>
      </c>
      <c r="AH21" s="979">
        <f t="shared" si="9"/>
        <v>0</v>
      </c>
      <c r="AI21" s="977">
        <f t="shared" si="9"/>
        <v>0</v>
      </c>
      <c r="AJ21" s="967">
        <f t="shared" si="9"/>
        <v>1237</v>
      </c>
      <c r="AK21" s="967">
        <f t="shared" si="9"/>
        <v>2761</v>
      </c>
      <c r="AL21" s="967">
        <f t="shared" si="9"/>
        <v>0</v>
      </c>
      <c r="AM21" s="980">
        <f t="shared" si="9"/>
        <v>0</v>
      </c>
      <c r="AN21" s="970">
        <f>IF(ISNUMBER(Datos!K21/Datos!J21),Datos!K21/Datos!J21," - ")</f>
        <v>1.0098522167487685</v>
      </c>
      <c r="AO21" s="970">
        <f>IF(ISNUMBER(FIND("06",Criterios!A8,1)),(IF(ISNUMBER(((Datos!R21/Datos!Q21)*11)/factor_trimestre),((Datos!R21/Datos!Q21)*11)/factor_trimestre," - ")),(IF(ISNUMBER(((Datos!L21/Datos!K21)*11)/factor_trimestre),((Datos!L21/Datos!K21)*11)/factor_trimestre," - ")))</f>
        <v>5.9442776735459661</v>
      </c>
      <c r="AP21" s="981" t="str">
        <f>IF(ISNUMBER(Datos!CI21/Datos!CJ21),Datos!CI21/Datos!CJ21," - ")</f>
        <v xml:space="preserve"> - </v>
      </c>
      <c r="AQ21" s="981">
        <f>IF(OR(ISNUMBER(FIND("01",Criterios!A8,1)),ISNUMBER(FIND("02",Criterios!A8,1)),ISNUMBER(FIND("03",Criterios!A8,1)),ISNUMBER(FIND("04",Criterios!A8,1))),(J21-Y21+K21)/(F21-K21),(I21-Y21+K21)/(F21-K21))</f>
        <v>-0.69467046379170061</v>
      </c>
      <c r="AR21" s="981">
        <f>IF(ISNUMBER((Datos!P21-Datos!Q21+O21)/(Datos!R21-Datos!P21+Datos!Q21-O21)),(Datos!P21-Datos!Q21+O21)/(Datos!R21-Datos!P21+Datos!Q21-O21)," - ")</f>
        <v>4.9291435613062227E-2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1831.6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2705.4633614225863</v>
      </c>
      <c r="G23" s="601">
        <f>IF(ISNUMBER(STDEV(G8:G20)),STDEV(G8:G20),"-")</f>
        <v>2265.1756664771056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317.36141332346421</v>
      </c>
      <c r="AK23" s="257"/>
      <c r="AL23" s="257">
        <f>IF(ISNUMBER(STDEV(AL8:AL20)),STDEV(AL8:AL20),"-")</f>
        <v>0</v>
      </c>
      <c r="AM23" s="259">
        <f>IF(ISNUMBER(STDEV(AM8:AM20)),STDEV(AM8:AM20),"-")</f>
        <v>0</v>
      </c>
      <c r="AN23" s="587">
        <f>IF(ISNUMBER(STDEV(AN8:AN20)),STDEV(AN8:AN20),"-")</f>
        <v>0</v>
      </c>
      <c r="AO23" s="588">
        <f>IF(ISNUMBER(STDEV(AO8:AO20)),STDEV(AO8:AO20),"-")</f>
        <v>8.8310582588220043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JzxgilLmLLFzZGbcuHpb/IlShYyY1zIgHJklE2a5cXgV1Gh1CyCPjszCzmgiQ85gCidF4gwf2SiQEmVAgLh4GA==" saltValue="6sd75QHFCcZ9oySxv1TbN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9IbiDzTQJdkUdS1H5Vo7AxdYh99v3+IRnhyu9dAKyctbvP4oJoXcvnB1mGWyvf+nDpLgO3CCrVzE+coxoYrsMg==" saltValue="YxNrkEw5hoRgh0LRse7g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Cg9lDKPQsUPDIuwvrK3xP9JFa5JDipspH+JH1Y+AppZuNzxHQSwPn/7/p9Z6aL/sh4MUGRVCwJYN2UV5yi0ew==" saltValue="mg/A+rSpvsQ8Lt+WwjK83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ISLAS BALEARES</v>
      </c>
      <c r="F1" s="753"/>
    </row>
    <row r="2" spans="1:75" ht="16.5" customHeight="1">
      <c r="C2" s="521" t="str">
        <f>Criterios!A10 &amp;"  "&amp;Criterios!B10 &amp; "  " &amp; IF(NOT(ISBLANK(Criterios!A11)),Criterios!A11 &amp;"  "&amp;Criterios!B11,"")</f>
        <v>Provincias  ILLES BALEARS  Resumenes por Partidos Judiciales  EIVISSA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0.34451365596550071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0.24360794234457481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LEvsw3psLAwJf3meOJ/hPAghpR/Vb9OLoFHOkafkpzdY+nQZmpRA69qfwX0fbkavPQTweeSHYO5tc+lmEyap9w==" saltValue="/hbw3JghQxZdV2zzgHUK9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u7nPlghYNIpV4kQ2DZ/WjrQCg202J5+0jiv+aP9tyti+dEs2n+s3gVhF19lcy7rOYiYqGmx3zDg70bvPUptLzw==" saltValue="5krpeoPlRXZVAfg7gkCx7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ISLAS BALEARES</v>
      </c>
      <c r="C2" s="400"/>
      <c r="D2" s="400"/>
      <c r="E2" s="400"/>
      <c r="F2" s="400"/>
    </row>
    <row r="3" spans="1:14" ht="19.5">
      <c r="A3" s="402" t="s">
        <v>128</v>
      </c>
      <c r="B3" s="403" t="str">
        <f>Criterios!A10 &amp;"  "&amp;Criterios!B10</f>
        <v>Provincias  ILLES BALEARS</v>
      </c>
      <c r="D3" s="400"/>
      <c r="E3" s="400"/>
      <c r="F3" s="400"/>
    </row>
    <row r="4" spans="1:14" ht="13.5" thickBot="1">
      <c r="A4" s="400"/>
      <c r="B4" s="403" t="str">
        <f>Criterios!A11 &amp;"  "&amp;Criterios!B11</f>
        <v>Resumenes por Partidos Judiciales  EIVISSA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5</v>
      </c>
      <c r="C9" s="415">
        <f>IF(ISNUMBER(IF(J_V="SI",Datos!I9,Datos!I9+Datos!Y9)),IF(J_V="SI",Datos!I9,Datos!I9+Datos!Y9)," - ")</f>
        <v>5568</v>
      </c>
      <c r="D9" s="416">
        <f>IF(ISNUMBER(C9/Datos!BH9),C9/Datos!BH9," - ")</f>
        <v>1113.5999999999999</v>
      </c>
      <c r="E9" s="415">
        <f>IF(ISNUMBER(IF(J_V="SI",Datos!J9,Datos!J9+Datos!Z9)),IF(J_V="SI",Datos!J9,Datos!J9+Datos!Z9)," - ")</f>
        <v>2185</v>
      </c>
      <c r="F9" s="416">
        <f>IF(ISNUMBER(E9/B9),E9/B9," - ")</f>
        <v>437</v>
      </c>
      <c r="G9" s="415">
        <f>IF(ISNUMBER(IF(J_V="SI",Datos!K9,Datos!K9+Datos!AA9)),IF(J_V="SI",Datos!K9,Datos!K9+Datos!AA9)," - ")</f>
        <v>2071</v>
      </c>
      <c r="H9" s="416">
        <f>IF(ISNUMBER(G9/B9),G9/B9," - ")</f>
        <v>414.2</v>
      </c>
      <c r="I9" s="415">
        <f>IF(ISNUMBER(IF(J_V="SI",Datos!L9,Datos!L9+Datos!AB9)),IF(J_V="SI",Datos!L9,Datos!L9+Datos!AB9)," - ")</f>
        <v>5682</v>
      </c>
      <c r="J9" s="416">
        <f>IF(ISNUMBER(I9/B9),I9/B9," - ")</f>
        <v>1136.4000000000001</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115</v>
      </c>
      <c r="D10" s="416">
        <f>IF(ISNUMBER(C10/Datos!BH10),C10/Datos!BH10," - ")</f>
        <v>115</v>
      </c>
      <c r="E10" s="415">
        <f>IF(ISNUMBER(Datos!J10),Datos!J10," - ")</f>
        <v>42</v>
      </c>
      <c r="F10" s="416">
        <f>IF(ISNUMBER(E10/B10),E10/B10," - ")</f>
        <v>42</v>
      </c>
      <c r="G10" s="415">
        <f>IF(ISNUMBER(Datos!K10),Datos!K10," - ")</f>
        <v>16</v>
      </c>
      <c r="H10" s="416">
        <f>IF(ISNUMBER(G10/B10),G10/B10," - ")</f>
        <v>16</v>
      </c>
      <c r="I10" s="415">
        <f>IF(ISNUMBER(Datos!L10),Datos!L10," - ")</f>
        <v>141</v>
      </c>
      <c r="J10" s="416">
        <f>IF(ISNUMBER(I10/B10),I10/B10," - ")</f>
        <v>141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6</v>
      </c>
      <c r="C14" s="996">
        <f>SUBTOTAL(9,C8:C13)</f>
        <v>5683</v>
      </c>
      <c r="D14" s="997" t="str">
        <f>IF(ISNUMBER(C14/Datos!BI14),C14/Datos!BI14," - ")</f>
        <v xml:space="preserve"> - </v>
      </c>
      <c r="E14" s="996">
        <f>SUBTOTAL(9,E8:E13)</f>
        <v>2227</v>
      </c>
      <c r="F14" s="997">
        <f>IF(ISNUMBER(E14/B14),E14/B14," - ")</f>
        <v>371.16666666666669</v>
      </c>
      <c r="G14" s="996">
        <f>SUBTOTAL(9,G8:G13)</f>
        <v>2087</v>
      </c>
      <c r="H14" s="997">
        <f>IF(ISNUMBER(G14/B14),G14/B14," - ")</f>
        <v>347.83333333333331</v>
      </c>
      <c r="I14" s="996">
        <f>SUBTOTAL(9,I8:I13)</f>
        <v>5823</v>
      </c>
      <c r="J14" s="997">
        <f>IF(ISNUMBER(I14/B14),I14/B14," - ")</f>
        <v>970.5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4</v>
      </c>
      <c r="C16" s="415">
        <f>IF(ISNUMBER(IF(D_I="SI",Datos!I16,Datos!I16+Datos!AC16)),IF(D_I="SI",Datos!I16,Datos!I16+Datos!AC16)," - ")</f>
        <v>4153</v>
      </c>
      <c r="D16" s="416">
        <f>IF(ISNUMBER(C16/Datos!BH16),C16/Datos!BH16," - ")</f>
        <v>1038.25</v>
      </c>
      <c r="E16" s="415">
        <f>IF(ISNUMBER(IF(D_I="SI",Datos!J16,Datos!J16+Datos!AD16)),IF(D_I="SI",Datos!J16,Datos!J16+Datos!AD16)," - ")</f>
        <v>2864</v>
      </c>
      <c r="F16" s="416">
        <f>IF(ISNUMBER(E16/B16),E16/B16," - ")</f>
        <v>716</v>
      </c>
      <c r="G16" s="415">
        <f>IF(ISNUMBER(IF(D_I="SI",Datos!K16,Datos!K16+Datos!AE16)),IF(D_I="SI",Datos!K16,Datos!K16+Datos!AE16)," - ")</f>
        <v>3048</v>
      </c>
      <c r="H16" s="416">
        <f>IF(ISNUMBER(G16/B16),G16/B16," - ")</f>
        <v>762</v>
      </c>
      <c r="I16" s="415">
        <f>IF(ISNUMBER(IF(D_I="SI",Datos!L16,Datos!L16+Datos!AF16)),IF(D_I="SI",Datos!L16,Datos!L16+Datos!AF16)," - ")</f>
        <v>4617</v>
      </c>
      <c r="J16" s="416">
        <f>IF(ISNUMBER(I16/B16),I16/B16," - ")</f>
        <v>1154.25</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311</v>
      </c>
      <c r="D18" s="416">
        <f>IF(ISNUMBER(C18/Datos!BH18),C18/Datos!BH18," - ")</f>
        <v>311</v>
      </c>
      <c r="E18" s="415">
        <f>IF(ISNUMBER(IF(D_I="SI",Datos!J18,Datos!J18+Datos!AD18)),IF(D_I="SI",Datos!J18,Datos!J18+Datos!AD18)," - ")</f>
        <v>322</v>
      </c>
      <c r="F18" s="416">
        <f>IF(ISNUMBER(E18/B18),E18/B18," - ")</f>
        <v>322</v>
      </c>
      <c r="G18" s="415">
        <f>IF(ISNUMBER(IF(D_I="SI",Datos!K18,Datos!K18+Datos!AE18)),IF(D_I="SI",Datos!K18,Datos!K18+Datos!AE18)," - ")</f>
        <v>351</v>
      </c>
      <c r="H18" s="416">
        <f>IF(ISNUMBER(G18/B18),G18/B18," - ")</f>
        <v>351</v>
      </c>
      <c r="I18" s="415">
        <f>IF(ISNUMBER(IF(D_I="SI",Datos!L18,Datos!L18+Datos!AF18)),IF(D_I="SI",Datos!L18,Datos!L18+Datos!AF18)," - ")</f>
        <v>284</v>
      </c>
      <c r="J18" s="416">
        <f>IF(ISNUMBER(I18/B18),I18/B18," - ")</f>
        <v>284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4464</v>
      </c>
      <c r="D20" s="997" t="str">
        <f>IF(ISNUMBER(C20/Datos!BI20),C20/Datos!BI20," - ")</f>
        <v xml:space="preserve"> - </v>
      </c>
      <c r="E20" s="996">
        <f>SUBTOTAL(9,E15:E19)</f>
        <v>3186</v>
      </c>
      <c r="F20" s="997">
        <f>IF(ISNUMBER(E20/B20),E20/B20," - ")</f>
        <v>637.20000000000005</v>
      </c>
      <c r="G20" s="996">
        <f>SUBTOTAL(9,G15:G19)</f>
        <v>3399</v>
      </c>
      <c r="H20" s="997">
        <f>IF(ISNUMBER(G20/B20),G20/B20," - ")</f>
        <v>679.8</v>
      </c>
      <c r="I20" s="996">
        <f>SUBTOTAL(9,I15:I19)</f>
        <v>4901</v>
      </c>
      <c r="J20" s="997">
        <f>IF(ISNUMBER(I20/B20),I20/B20," - ")</f>
        <v>980.2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10</v>
      </c>
      <c r="C21" s="941">
        <f>SUBTOTAL(9,C9:C20)</f>
        <v>10147</v>
      </c>
      <c r="D21" s="942" t="str">
        <f>IF(ISNUMBER(C21/Datos!BI21),C21/Datos!BI21," - ")</f>
        <v xml:space="preserve"> - </v>
      </c>
      <c r="E21" s="941">
        <f>SUBTOTAL(9,E9:E20)</f>
        <v>5413</v>
      </c>
      <c r="F21" s="942">
        <f>IF(ISNUMBER(E21/B21),E21/B21," - ")</f>
        <v>541.29999999999995</v>
      </c>
      <c r="G21" s="941">
        <f>SUBTOTAL(9,G9:G20)</f>
        <v>5486</v>
      </c>
      <c r="H21" s="942">
        <f>IF(ISNUMBER(G21/B21),G21/B21," - ")</f>
        <v>548.6</v>
      </c>
      <c r="I21" s="941">
        <f>SUBTOTAL(9,I9:I20)</f>
        <v>10724</v>
      </c>
      <c r="J21" s="942">
        <f>IF(ISNUMBER(I21/B21),I21/B21," - ")</f>
        <v>1072.4000000000001</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dSe92S9R/iO2Z2d16YNDQqQt0z5u9ymiJ/A2UYsyZj6Ea1GyedxlVY1snZsQjXHKHziD5DTU1tzBjtnuMcs1Tw==" saltValue="NNgrYpfMDByS4ZB8YBErm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ISLAS BALEARES</v>
      </c>
      <c r="F1" s="753"/>
      <c r="W1"/>
      <c r="X1"/>
      <c r="BE1" s="753"/>
    </row>
    <row r="2" spans="1:65" ht="16.5" customHeight="1">
      <c r="C2" s="521" t="str">
        <f>Criterios!A10 &amp;"  "&amp;Criterios!B10 &amp; "  " &amp; IF(NOT(ISBLANK(Criterios!A11)),Criterios!A11 &amp;"  "&amp;Criterios!B11,"")</f>
        <v>Provincias  ILLES BALEARS  Resumenes por Partidos Judiciales  EIVISSA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5</v>
      </c>
      <c r="B9" s="653" t="s">
        <v>273</v>
      </c>
      <c r="C9" s="671" t="str">
        <f>Datos!A9</f>
        <v xml:space="preserve">Jdos. 1ª Instancia   </v>
      </c>
      <c r="D9" s="544"/>
      <c r="E9" s="801">
        <f>IF(ISNUMBER(Datos!AQ9),Datos!AQ9," - ")</f>
        <v>5</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115</v>
      </c>
      <c r="G10" s="803">
        <f>IF(ISNUMBER(Datos!I10),Datos!I10," - ")</f>
        <v>115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3</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16</v>
      </c>
      <c r="AC10" s="802" t="str">
        <f>IF(ISNUMBER(IF(D_I="SI",DatosP!K18,DatosP!K18+DatosP!AE18)),IF(D_I="SI",DatosP!K18,DatosP!K18+DatosP!AE18)," - ")</f>
        <v xml:space="preserve"> - </v>
      </c>
      <c r="AD10" s="804"/>
      <c r="AE10" s="804"/>
      <c r="AF10" s="807">
        <f>IF(ISNUMBER(Datos!L10),Datos!L10,"-")</f>
        <v>141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3</v>
      </c>
      <c r="AM10" s="811">
        <f>IF(ISNUMBER(Datos!N10+DatosP!N18),Datos!N10+DatosP!N18," - ")</f>
        <v>5</v>
      </c>
      <c r="AN10" s="811">
        <f>IF(ISNUMBER(Datos!BW10+DatosP!BW18),Datos!BW10+DatosP!BW18," - ")</f>
        <v>0</v>
      </c>
      <c r="AO10" s="812">
        <f>IF(ISNUMBER(Datos!BX10+DatosP!BX18),Datos!BX10+DatosP!BX18," - ")</f>
        <v>0</v>
      </c>
      <c r="AP10" s="814">
        <f>IF(ISNUMBER(((Datos!L10/Datos!K10)*11)/factor_trimestre),((Datos!L10/Datos!K10)*11)/factor_trimestre," - ")</f>
        <v>26.4375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6</v>
      </c>
      <c r="F14" s="1085">
        <f t="shared" si="0"/>
        <v>115</v>
      </c>
      <c r="G14" s="1085">
        <f t="shared" si="0"/>
        <v>115</v>
      </c>
      <c r="H14" s="1085">
        <f t="shared" si="0"/>
        <v>0</v>
      </c>
      <c r="I14" s="1087">
        <f t="shared" si="0"/>
        <v>0</v>
      </c>
      <c r="J14" s="1086">
        <f t="shared" si="0"/>
        <v>0</v>
      </c>
      <c r="K14" s="1086">
        <f t="shared" si="0"/>
        <v>0</v>
      </c>
      <c r="L14" s="1088">
        <f t="shared" si="0"/>
        <v>0</v>
      </c>
      <c r="M14" s="1088">
        <f t="shared" si="0"/>
        <v>0</v>
      </c>
      <c r="N14" s="1086">
        <f t="shared" si="0"/>
        <v>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16</v>
      </c>
      <c r="AC14" s="1086">
        <f t="shared" si="1"/>
        <v>0</v>
      </c>
      <c r="AD14" s="1086">
        <f t="shared" si="1"/>
        <v>0</v>
      </c>
      <c r="AE14" s="1086">
        <f t="shared" si="1"/>
        <v>0</v>
      </c>
      <c r="AF14" s="1086">
        <f t="shared" si="1"/>
        <v>141</v>
      </c>
      <c r="AG14" s="1086">
        <f t="shared" si="1"/>
        <v>0</v>
      </c>
      <c r="AH14" s="1086">
        <f t="shared" si="1"/>
        <v>0</v>
      </c>
      <c r="AI14" s="1086">
        <f t="shared" si="1"/>
        <v>0</v>
      </c>
      <c r="AJ14" s="1086">
        <f t="shared" si="1"/>
        <v>0</v>
      </c>
      <c r="AK14" s="1086">
        <f t="shared" si="1"/>
        <v>0</v>
      </c>
      <c r="AL14" s="1086">
        <f t="shared" si="1"/>
        <v>3</v>
      </c>
      <c r="AM14" s="1086">
        <f t="shared" si="1"/>
        <v>5</v>
      </c>
      <c r="AN14" s="1086">
        <f t="shared" si="1"/>
        <v>0</v>
      </c>
      <c r="AO14" s="1086">
        <f t="shared" si="1"/>
        <v>0</v>
      </c>
      <c r="AP14" s="1091">
        <f>IF(ISNUMBER(((Datos!L14/Datos!K14)*11)/factor_trimestre),((Datos!L14/Datos!K14)*11)/factor_trimestre," - ")</f>
        <v>8.7933713102019677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-0.1391304347826087</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4</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4.3256840247131514</v>
      </c>
      <c r="AQ20" s="1091">
        <f>IF(ISNUMBER(((Datos!M20/Datos!L20)*11)/factor_trimestre),((Datos!M20/Datos!L20)*11)/factor_trimestre," - ")</f>
        <v>0.31707814731687406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3.5087719298245612E-2</v>
      </c>
      <c r="AW20" s="1093">
        <f>IF(ISNUMBER((Datos!Q20-Datos!R20)/(Datos!S20-Datos!Q20+Datos!R20)),(Datos!Q20-Datos!R20)/(Datos!S20-Datos!Q20+Datos!R20)," - ")</f>
        <v>-3.832941601880311E-2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6</v>
      </c>
      <c r="F21" s="1098">
        <f t="shared" si="4"/>
        <v>115</v>
      </c>
      <c r="G21" s="1098">
        <f t="shared" si="4"/>
        <v>115</v>
      </c>
      <c r="H21" s="1098">
        <f t="shared" si="4"/>
        <v>0</v>
      </c>
      <c r="I21" s="1099">
        <f t="shared" si="4"/>
        <v>0</v>
      </c>
      <c r="J21" s="1100">
        <f t="shared" si="4"/>
        <v>0</v>
      </c>
      <c r="K21" s="1100">
        <f t="shared" si="4"/>
        <v>0</v>
      </c>
      <c r="L21" s="1100">
        <f t="shared" si="4"/>
        <v>0</v>
      </c>
      <c r="M21" s="1100">
        <f t="shared" si="4"/>
        <v>0</v>
      </c>
      <c r="N21" s="1099">
        <f t="shared" si="4"/>
        <v>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16</v>
      </c>
      <c r="AC21" s="1104">
        <f t="shared" si="5"/>
        <v>0</v>
      </c>
      <c r="AD21" s="1104">
        <f t="shared" si="5"/>
        <v>0</v>
      </c>
      <c r="AE21" s="1104">
        <f t="shared" si="5"/>
        <v>0</v>
      </c>
      <c r="AF21" s="1105">
        <f t="shared" si="5"/>
        <v>141</v>
      </c>
      <c r="AG21" s="1105">
        <f t="shared" si="5"/>
        <v>0</v>
      </c>
      <c r="AH21" s="1105">
        <f t="shared" si="5"/>
        <v>0</v>
      </c>
      <c r="AI21" s="1105">
        <f t="shared" si="5"/>
        <v>0</v>
      </c>
      <c r="AJ21" s="1106">
        <f t="shared" si="5"/>
        <v>0</v>
      </c>
      <c r="AK21" s="1106">
        <f t="shared" si="5"/>
        <v>0</v>
      </c>
      <c r="AL21" s="1098">
        <f t="shared" si="5"/>
        <v>3</v>
      </c>
      <c r="AM21" s="1098">
        <f t="shared" si="5"/>
        <v>5</v>
      </c>
      <c r="AN21" s="1098">
        <f t="shared" si="5"/>
        <v>0</v>
      </c>
      <c r="AO21" s="1098">
        <f t="shared" si="5"/>
        <v>0</v>
      </c>
      <c r="AP21" s="1098">
        <f>IF(ISNUMBER(((Datos!L21/Datos!K21)*11)/factor_trimestre),((Datos!L21/Datos!K21)*11)/factor_trimestre," - ")</f>
        <v>5.9442776735459661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-0.1391304347826087</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4.9291435613062227E-2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76.666666666666671</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2.6276913640612181</v>
      </c>
      <c r="F23" s="870">
        <f>IF(ISNUMBER(STDEV(F8:F20)),STDEV(F8:F20),"-")</f>
        <v>66.395280956806971</v>
      </c>
      <c r="G23" s="871">
        <f>IF(ISNUMBER(STDEV(G8:G20)),STDEV(G8:G20),"-")</f>
        <v>66.395280956806971</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9.2376043070340135</v>
      </c>
      <c r="AC23" s="872">
        <f>IF(ISNUMBER(STDEV(AC8:AC20)),STDEV(AC8:AC20),"-")</f>
        <v>0</v>
      </c>
      <c r="AD23" s="875"/>
      <c r="AE23" s="875"/>
      <c r="AF23" s="875"/>
      <c r="AG23" s="875"/>
      <c r="AH23" s="875"/>
      <c r="AI23" s="875"/>
      <c r="AJ23" s="876">
        <f>IF(ISNUMBER(STDEV(AJ8:AJ20)),STDEV(AJ8:AJ20),"-")</f>
        <v>0</v>
      </c>
      <c r="AK23" s="878"/>
      <c r="AL23" s="870">
        <f>IF(ISNUMBER(STDEV(AL8:AL20)),STDEV(AL8:AL20),"-")</f>
        <v>1.7320508075688772</v>
      </c>
      <c r="AM23" s="870"/>
      <c r="AN23" s="870">
        <f>IF(ISNUMBER(STDEV(AN8:AN20)),STDEV(AN8:AN20),"-")</f>
        <v>0</v>
      </c>
      <c r="AO23" s="876">
        <f>IF(ISNUMBER(STDEV(AO8:AO20)),STDEV(AO8:AO20),"-")</f>
        <v>0</v>
      </c>
      <c r="AP23" s="923">
        <f>IF(ISNUMBER(STDEV(AP8:AP20)),STDEV(AP8:AP20),"-")</f>
        <v>11.691933919217009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jMPoHBtly0j0YjRE/iZdkIuPQ5P86E+yGDYWorSa0CY4SaQn6poDQB+IeIkvYOyVdygjHJE33Dd8tlnOzpiTvg==" saltValue="DX8LY5SNNVgDKcuvcMdJ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ISLAS BALEARES</v>
      </c>
      <c r="C2" s="400"/>
      <c r="E2" s="400"/>
      <c r="F2" s="400"/>
      <c r="G2" s="400"/>
      <c r="H2" s="400"/>
    </row>
    <row r="3" spans="1:15" ht="39">
      <c r="A3" s="427" t="s">
        <v>241</v>
      </c>
      <c r="B3" s="403" t="str">
        <f>Criterios!A10 &amp;"  "&amp;Criterios!B10</f>
        <v>Provincias  ILLES BALEARS</v>
      </c>
      <c r="C3" s="427"/>
      <c r="F3" s="400"/>
      <c r="G3" s="400"/>
      <c r="H3" s="400"/>
    </row>
    <row r="4" spans="1:15" ht="13.5" thickBot="1">
      <c r="A4" s="400"/>
      <c r="B4" s="403" t="str">
        <f>Criterios!A11 &amp;"  "&amp;Criterios!B11</f>
        <v>Resumenes por Partidos Judiciales  EIVISSA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5</v>
      </c>
      <c r="D9" s="415">
        <f>Datos!BK9</f>
        <v>0</v>
      </c>
      <c r="E9" s="415">
        <f>Datos!AQ9</f>
        <v>5</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4</v>
      </c>
      <c r="D16" s="415">
        <f>Datos!BK16</f>
        <v>0</v>
      </c>
      <c r="E16" s="415">
        <f>Datos!AQ16</f>
        <v>4</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Ke6GmDs4B5ZEVpNdOjWIdkuCRTnoGg8gSjo8OClIguK+LVP9fZRfI+/JI2se5BB/wshwvbi6WUkjEy3kIHHp5g==" saltValue="7cf90EHXG8y4lo7RvTaQO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ISLAS BALEARES</v>
      </c>
      <c r="C2" s="439"/>
      <c r="D2" s="382"/>
    </row>
    <row r="3" spans="1:9" ht="19.5">
      <c r="A3" s="440" t="s">
        <v>11</v>
      </c>
      <c r="B3" s="441" t="str">
        <f>Criterios!A10 &amp;"  "&amp;Criterios!B10</f>
        <v>Provincias  ILLES BALEARS</v>
      </c>
      <c r="C3" s="439"/>
      <c r="D3" s="440"/>
    </row>
    <row r="4" spans="1:9" ht="13.5" thickBot="1">
      <c r="B4" s="441" t="str">
        <f>Criterios!A11 &amp;"  "&amp;Criterios!B11</f>
        <v>Resumenes por Partidos Judiciales  EIVISSA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5</v>
      </c>
      <c r="C9" s="422">
        <f>Datos!AQ9</f>
        <v>5</v>
      </c>
      <c r="D9" s="415">
        <f>IF(ISNUMBER(Datos!M9),Datos!M9," - ")</f>
        <v>716</v>
      </c>
      <c r="E9" s="416">
        <f t="shared" ref="E9:E14" si="0">IF(ISNUMBER(D9/B9),D9/B9," - ")</f>
        <v>143.19999999999999</v>
      </c>
      <c r="F9" s="415">
        <f>IF(ISNUMBER(Datos!N9),Datos!N9," - ")</f>
        <v>777</v>
      </c>
      <c r="G9" s="416">
        <f t="shared" ref="G9:G14" si="1">IF(ISNUMBER(F9/B9),F9/B9," - ")</f>
        <v>155.4</v>
      </c>
      <c r="H9" s="415">
        <f>IF(ISNUMBER(Datos!O9),Datos!O9," - ")</f>
        <v>445</v>
      </c>
      <c r="I9" s="416">
        <f>IF(ISNUMBER(H9/B9),H9/B9," - ")</f>
        <v>89</v>
      </c>
    </row>
    <row r="10" spans="1:9">
      <c r="A10" s="414" t="str">
        <f>Datos!A10</f>
        <v>Jdos. Violencia contra la mujer</v>
      </c>
      <c r="B10" s="444">
        <f>Datos!AO10</f>
        <v>1</v>
      </c>
      <c r="C10" s="422">
        <f>Datos!AQ10</f>
        <v>1</v>
      </c>
      <c r="D10" s="415">
        <f>IF(ISNUMBER(Datos!M10),Datos!M10," - ")</f>
        <v>3</v>
      </c>
      <c r="E10" s="416">
        <f>IF(ISNUMBER(D10/B10),D10/B10," - ")</f>
        <v>3</v>
      </c>
      <c r="F10" s="415">
        <f>IF(ISNUMBER(Datos!N10),Datos!N10," - ")</f>
        <v>5</v>
      </c>
      <c r="G10" s="416">
        <f>IF(ISNUMBER(F10/B10),F10/B10," - ")</f>
        <v>5</v>
      </c>
      <c r="H10" s="415">
        <f>IF(ISNUMBER(Datos!O10),Datos!O10," - ")</f>
        <v>3</v>
      </c>
      <c r="I10" s="416">
        <f t="shared" ref="I10:I13" si="2">IF(ISNUMBER(H10/B10),H10/B10," - ")</f>
        <v>3</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6</v>
      </c>
      <c r="D14" s="996">
        <f>SUBTOTAL(9,D9:D13)</f>
        <v>719</v>
      </c>
      <c r="E14" s="997">
        <f t="shared" si="0"/>
        <v>119.83333333333333</v>
      </c>
      <c r="F14" s="996">
        <f>SUBTOTAL(9,F9:F13)</f>
        <v>782</v>
      </c>
      <c r="G14" s="997">
        <f t="shared" si="1"/>
        <v>130.33333333333334</v>
      </c>
      <c r="H14" s="996">
        <f>SUBTOTAL(9,H9:H13)</f>
        <v>448</v>
      </c>
      <c r="I14" s="997">
        <f>IF(ISNUMBER(H14/B14),H14/B14," - ")</f>
        <v>74.666666666666671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4</v>
      </c>
      <c r="C16" s="445">
        <f>Datos!AQ16</f>
        <v>4</v>
      </c>
      <c r="D16" s="415">
        <f>IF(ISNUMBER(Datos!M16),Datos!M16," - ")</f>
        <v>473</v>
      </c>
      <c r="E16" s="416">
        <f t="shared" ref="E16:E20" si="3">IF(ISNUMBER(D16/B16),D16/B16," - ")</f>
        <v>118.25</v>
      </c>
      <c r="F16" s="415">
        <f>IF(ISNUMBER(Datos!N16),Datos!N16," - ")</f>
        <v>1796</v>
      </c>
      <c r="G16" s="416">
        <f t="shared" ref="G16:G20" si="4">IF(ISNUMBER(F16/B16),F16/B16," - ")</f>
        <v>449</v>
      </c>
      <c r="H16" s="415">
        <f>IF(ISNUMBER(Datos!O16),Datos!O16," - ")</f>
        <v>0</v>
      </c>
      <c r="I16" s="416">
        <f t="shared" ref="I16:I19" si="5">IF(ISNUMBER(H16/B16),H16/B16," - ")</f>
        <v>0</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1</v>
      </c>
      <c r="D18" s="415">
        <f>IF(ISNUMBER(Datos!M18),Datos!M18," - ")</f>
        <v>45</v>
      </c>
      <c r="E18" s="416">
        <f>IF(ISNUMBER(D18/B18),D18/B18," - ")</f>
        <v>45</v>
      </c>
      <c r="F18" s="415">
        <f>IF(ISNUMBER(Datos!N18),Datos!N18," - ")</f>
        <v>183</v>
      </c>
      <c r="G18" s="416">
        <f>IF(ISNUMBER(F18/B18),F18/B18," - ")</f>
        <v>183</v>
      </c>
      <c r="H18" s="415">
        <f>IF(ISNUMBER(Datos!O18),Datos!O18," - ")</f>
        <v>4</v>
      </c>
      <c r="I18" s="416">
        <f t="shared" si="5"/>
        <v>4</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5</v>
      </c>
      <c r="D20" s="996">
        <f>SUBTOTAL(9,D16:D19)</f>
        <v>518</v>
      </c>
      <c r="E20" s="997">
        <f t="shared" si="3"/>
        <v>103.6</v>
      </c>
      <c r="F20" s="996">
        <f>SUBTOTAL(9,F16:F19)</f>
        <v>1979</v>
      </c>
      <c r="G20" s="997">
        <f t="shared" si="4"/>
        <v>395.8</v>
      </c>
      <c r="H20" s="996">
        <f>SUBTOTAL(9,H16:H19)</f>
        <v>4</v>
      </c>
      <c r="I20" s="997">
        <f>IF(ISNUMBER(H20/B20),H20/B20," - ")</f>
        <v>0.8</v>
      </c>
    </row>
    <row r="21" spans="1:9" ht="14.25" thickTop="1" thickBot="1">
      <c r="A21" s="940" t="str">
        <f>Datos!A21</f>
        <v>TOTAL JURISDICCIONES</v>
      </c>
      <c r="B21" s="941">
        <f>Datos!AP21</f>
        <v>10</v>
      </c>
      <c r="C21" s="941">
        <f>Datos!AR21</f>
        <v>10</v>
      </c>
      <c r="D21" s="941">
        <f>SUBTOTAL(9,D8:D20)</f>
        <v>1237</v>
      </c>
      <c r="E21" s="942">
        <f>IF(ISNUMBER(D21/B21),D21/B21," - ")</f>
        <v>123.7</v>
      </c>
      <c r="F21" s="941">
        <f>SUBTOTAL(9,F8:F20)</f>
        <v>2761</v>
      </c>
      <c r="G21" s="942">
        <f>IF(ISNUMBER(F21/B21),F21/B21," - ")</f>
        <v>276.10000000000002</v>
      </c>
      <c r="H21" s="941">
        <f>SUBTOTAL(9,H8:H20)</f>
        <v>452</v>
      </c>
      <c r="I21" s="942">
        <f>IF(ISNUMBER(H21/B21),H21/B21," - ")</f>
        <v>45.2</v>
      </c>
    </row>
    <row r="24" spans="1:9">
      <c r="A24" s="403" t="str">
        <f>Criterios!A4</f>
        <v>Fecha Informe: 06 jun. 2023</v>
      </c>
    </row>
    <row r="29" spans="1:9">
      <c r="A29" s="426"/>
    </row>
  </sheetData>
  <sheetProtection algorithmName="SHA-512" hashValue="SxMe/HR7GT798gYDpYLwhvfePJVRKjkcd5kiaHKfSSxA8HZ5v4KCAwn3DSzB7j6T3y0eWuAEtDgQBerOaFxXkQ==" saltValue="zKsH/lU51QZOr1aj0eCW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ISLAS BALEARES</v>
      </c>
    </row>
    <row r="3" spans="1:4" ht="19.5">
      <c r="A3" s="446" t="s">
        <v>33</v>
      </c>
      <c r="B3" s="403" t="str">
        <f>Criterios!A10 &amp;"  "&amp;Criterios!B10</f>
        <v>Provincias  ILLES BALEARS</v>
      </c>
    </row>
    <row r="4" spans="1:4" ht="13.5" thickBot="1">
      <c r="B4" s="403" t="str">
        <f>Criterios!A11 &amp;"  "&amp;Criterios!B11</f>
        <v>Resumenes por Partidos Judiciales  EIVISSA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527</v>
      </c>
      <c r="C9" s="451">
        <f>IF(ISNUMBER(Datos!Q9),Datos!Q9," - ")</f>
        <v>219</v>
      </c>
      <c r="D9" s="420">
        <f>IF(ISNUMBER(Datos!R9),Datos!R9," - ")</f>
        <v>6492</v>
      </c>
    </row>
    <row r="10" spans="1:4">
      <c r="A10" s="414" t="str">
        <f>Datos!A10</f>
        <v>Jdos. Violencia contra la mujer</v>
      </c>
      <c r="B10" s="450">
        <f>IF(ISNUMBER(Datos!P10),Datos!P10," - ")</f>
        <v>3</v>
      </c>
      <c r="C10" s="451">
        <f>IF(ISNUMBER(Datos!Q10),Datos!Q10," - ")</f>
        <v>1</v>
      </c>
      <c r="D10" s="420">
        <f>IF(ISNUMBER(Datos!R10),Datos!R10," - ")</f>
        <v>25</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530</v>
      </c>
      <c r="C14" s="1000">
        <f>SUBTOTAL(9,C9:C13)</f>
        <v>220</v>
      </c>
      <c r="D14" s="998">
        <f>SUBTOTAL(9,D9:D13)</f>
        <v>6517</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82</v>
      </c>
      <c r="C16" s="451">
        <f>IF(ISNUMBER(Datos!Q16),Datos!Q16," - ")</f>
        <v>79</v>
      </c>
      <c r="D16" s="420">
        <f>IF(ISNUMBER(Datos!R16),Datos!R16," - ")</f>
        <v>281</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11</v>
      </c>
      <c r="C18" s="451">
        <f>IF(ISNUMBER(Datos!Q18),Datos!Q18," - ")</f>
        <v>4</v>
      </c>
      <c r="D18" s="420">
        <f>IF(ISNUMBER(Datos!R18),Datos!R18," - ")</f>
        <v>14</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93</v>
      </c>
      <c r="C20" s="1000">
        <f>SUBTOTAL(9,C16:C19)</f>
        <v>83</v>
      </c>
      <c r="D20" s="998">
        <f>SUBTOTAL(9,D16:D19)</f>
        <v>295</v>
      </c>
    </row>
    <row r="21" spans="1:4" ht="16.5" customHeight="1" thickTop="1" thickBot="1">
      <c r="A21" s="940" t="str">
        <f>Datos!A21</f>
        <v>TOTAL JURISDICCIONES</v>
      </c>
      <c r="B21" s="945">
        <f>SUBTOTAL(9,B8:B20)</f>
        <v>623</v>
      </c>
      <c r="C21" s="946">
        <f>SUBTOTAL(9,C8:C20)</f>
        <v>303</v>
      </c>
      <c r="D21" s="947">
        <f>SUBTOTAL(9,D8:D20)</f>
        <v>6812</v>
      </c>
    </row>
    <row r="22" spans="1:4" ht="7.5" customHeight="1"/>
    <row r="23" spans="1:4" ht="6" customHeight="1"/>
    <row r="24" spans="1:4">
      <c r="A24" s="403" t="str">
        <f>Criterios!A4</f>
        <v>Fecha Informe: 06 jun. 2023</v>
      </c>
    </row>
    <row r="29" spans="1:4">
      <c r="A29" s="426"/>
    </row>
  </sheetData>
  <sheetProtection algorithmName="SHA-512" hashValue="W6RrL8AwlivU+ggSqBjhZvvqROik6Ex110WgtvhesqugXMlf3Y1BS2i7EaH4hi9bV5zY9yDfqzjkDaM1WIYG+g==" saltValue="/JXk9QqtJarCOlp1/6iG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ISLAS BALEARES</v>
      </c>
    </row>
    <row r="3" spans="1:11" ht="18.75" customHeight="1">
      <c r="A3" s="446" t="s">
        <v>131</v>
      </c>
      <c r="B3" s="403" t="str">
        <f>Criterios!A10 &amp;"  "&amp;Criterios!B10</f>
        <v>Provincias  ILLES BALEARS</v>
      </c>
    </row>
    <row r="4" spans="1:11" ht="10.5" customHeight="1" thickBot="1">
      <c r="B4" s="403" t="str">
        <f>Criterios!A11 &amp;"  "&amp;Criterios!B11</f>
        <v>Resumenes por Partidos Judiciales  EIVISSA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1.4762165117550574E-2</v>
      </c>
      <c r="C9" s="473">
        <f>IF(ISNUMBER(
   IF(J_V="SI",(Datos!J9-Datos!T9)/Datos!T9,(Datos!J9+Datos!Z9-(Datos!T9+Datos!AH9))/(Datos!T9+Datos!AH9))
     ),IF(J_V="SI",(Datos!J9-Datos!T9)/Datos!T9,(Datos!J9+Datos!Z9-(Datos!T9+Datos!AH9))/(Datos!T9+Datos!AH9))," - ")</f>
        <v>-1.6208914903196758E-2</v>
      </c>
      <c r="D9" s="473">
        <f>IF(ISNUMBER(
   IF(J_V="SI",(Datos!K9-Datos!U9)/Datos!U9,(Datos!K9+Datos!AA9-(Datos!U9+Datos!AI9))/(Datos!U9+Datos!AI9))
     ),IF(J_V="SI",(Datos!K9-Datos!U9)/Datos!U9,(Datos!K9+Datos!AA9-(Datos!U9+Datos!AI9))/(Datos!U9+Datos!AI9))," - ")</f>
        <v>-8.9270008795074754E-2</v>
      </c>
      <c r="E9" s="473">
        <f>IF(ISNUMBER(
   IF(J_V="SI",(Datos!L9-Datos!V9)/Datos!V9,(Datos!L9+Datos!AB9-(Datos!V9+Datos!AJ9))/(Datos!V9+Datos!AJ9))
     ),IF(J_V="SI",(Datos!L9-Datos!V9)/Datos!V9,(Datos!L9+Datos!AB9-(Datos!V9+Datos!AJ9))/(Datos!V9+Datos!AJ9))," - ")</f>
        <v>4.5638571954361426E-2</v>
      </c>
      <c r="F9" s="473">
        <f>IF(ISNUMBER((Datos!M9-Datos!W9)/Datos!W9),(Datos!M9-Datos!W9)/Datos!W9," - ")</f>
        <v>9.480122324159021E-2</v>
      </c>
      <c r="G9" s="474">
        <f>IF(ISNUMBER((Datos!N9-Datos!X9)/Datos!X9),(Datos!N9-Datos!X9)/Datos!X9," - ")</f>
        <v>0.24719101123595505</v>
      </c>
      <c r="H9" s="472">
        <f>IF(ISNUMBER(((NºAsuntos!G9/NºAsuntos!E9)-Datos!BD9)/Datos!BD9),((NºAsuntos!G9/NºAsuntos!E9)-Datos!BD9)/Datos!BD9," - ")</f>
        <v>-7.426484646858629E-2</v>
      </c>
      <c r="I9" s="473">
        <f>IF(ISNUMBER(((NºAsuntos!I9/NºAsuntos!G9)-Datos!BE9)/Datos!BE9),((NºAsuntos!I9/NºAsuntos!G9)-Datos!BE9)/Datos!BE9," - ")</f>
        <v>0.14813235761671545</v>
      </c>
      <c r="J9" s="478">
        <f>IF(ISNUMBER((('Resol  Asuntos'!D9/NºAsuntos!G9)-Datos!BF9)/Datos!BF9),(('Resol  Asuntos'!D9/NºAsuntos!G9)-Datos!BF9)/Datos!BF9," - ")</f>
        <v>0.26193020950479495</v>
      </c>
      <c r="K9" s="479">
        <f>IF(ISNUMBER((((NºAsuntos!C9+NºAsuntos!E9)/NºAsuntos!G9)-Datos!BG9)/Datos!BG9),(((NºAsuntos!C9+NºAsuntos!E9)/NºAsuntos!G9)-Datos!BG9)/Datos!BG9," - ")</f>
        <v>0.10443062159953707</v>
      </c>
    </row>
    <row r="10" spans="1:11">
      <c r="A10" s="414" t="str">
        <f>Datos!A10</f>
        <v>Jdos. Violencia contra la mujer</v>
      </c>
      <c r="B10" s="472">
        <f>IF(ISNUMBER((Datos!I10-Datos!S10)/Datos!S10),(Datos!I10-Datos!S10)/Datos!S10," - ")</f>
        <v>0.53333333333333333</v>
      </c>
      <c r="C10" s="473">
        <f>IF(ISNUMBER((Datos!J10-Datos!T10)/Datos!T10),(Datos!J10-Datos!T10)/Datos!T10," - ")</f>
        <v>0.44827586206896552</v>
      </c>
      <c r="D10" s="473">
        <f>IF(ISNUMBER((Datos!K10-Datos!U10)/Datos!U10),(Datos!K10-Datos!U10)/Datos!U10," - ")</f>
        <v>-0.33333333333333331</v>
      </c>
      <c r="E10" s="473">
        <f>IF(ISNUMBER((Datos!L10-Datos!V10)/Datos!V10),(Datos!L10-Datos!V10)/Datos!V10," - ")</f>
        <v>0.76249999999999996</v>
      </c>
      <c r="F10" s="473">
        <f>IF(ISNUMBER((Datos!M10-Datos!W10)/Datos!W10),(Datos!M10-Datos!W10)/Datos!W10," - ")</f>
        <v>-0.5</v>
      </c>
      <c r="G10" s="474">
        <f>IF(ISNUMBER((Datos!N10-Datos!X10)/Datos!X10),(Datos!N10-Datos!X10)/Datos!X10," - ")</f>
        <v>-0.16666666666666666</v>
      </c>
      <c r="H10" s="472">
        <f>IF(ISNUMBER(((NºAsuntos!G10/NºAsuntos!E10)-Datos!BD10)/Datos!BD10),((NºAsuntos!G10/NºAsuntos!E10)-Datos!BD10)/Datos!BD10," - ")</f>
        <v>-0.53968253968253965</v>
      </c>
      <c r="I10" s="473">
        <f>IF(ISNUMBER(((NºAsuntos!I10/NºAsuntos!G10)-Datos!BE10)/Datos!BE10),((NºAsuntos!I10/NºAsuntos!G10)-Datos!BE10)/Datos!BE10," - ")</f>
        <v>1.6437499999999998</v>
      </c>
      <c r="J10" s="478">
        <f>IF(ISNUMBER((('Resol  Asuntos'!D10/NºAsuntos!G10)-Datos!BF10)/Datos!BF10),(('Resol  Asuntos'!D10/NºAsuntos!G10)-Datos!BF10)/Datos!BF10," - ")</f>
        <v>-0.25</v>
      </c>
      <c r="K10" s="479">
        <f>IF(ISNUMBER((((NºAsuntos!C10+NºAsuntos!E10)/NºAsuntos!G10)-Datos!BG10)/Datos!BG10),(((NºAsuntos!C10+NºAsuntos!E10)/NºAsuntos!G10)-Datos!BG10)/Datos!BG10," - ")</f>
        <v>1.2644230769230771</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2.1754764473211074E-2</v>
      </c>
      <c r="C14" s="1002">
        <f>IF(ISNUMBER(
   IF(J_V="SI",(Datos!J14-Datos!T14)/Datos!T14,(Datos!J14+Datos!Z14-(Datos!T14+Datos!AH14))/(Datos!T14+Datos!AH14))
     ),IF(J_V="SI",(Datos!J14-Datos!T14)/Datos!T14,(Datos!J14+Datos!Z14-(Datos!T14+Datos!AH14))/(Datos!T14+Datos!AH14))," - ")</f>
        <v>-1.0222222222222223E-2</v>
      </c>
      <c r="D14" s="1002">
        <f>IF(ISNUMBER(
   IF(J_V="SI",(Datos!K14-Datos!U14)/Datos!U14,(Datos!K14+Datos!AA14-(Datos!U14+Datos!AI14))/(Datos!U14+Datos!AI14))
     ),IF(J_V="SI",(Datos!K14-Datos!U14)/Datos!U14,(Datos!K14+Datos!AA14-(Datos!U14+Datos!AI14))/(Datos!U14+Datos!AI14))," - ")</f>
        <v>-9.1818973020017403E-2</v>
      </c>
      <c r="E14" s="1002">
        <f>IF(ISNUMBER(
   IF(J_V="SI",(Datos!L14-Datos!V14)/Datos!V14,(Datos!L14+Datos!AB14-(Datos!V14+Datos!AJ14))/(Datos!V14+Datos!AJ14))
     ),IF(J_V="SI",(Datos!L14-Datos!V14)/Datos!V14,(Datos!L14+Datos!AB14-(Datos!V14+Datos!AJ14))/(Datos!V14+Datos!AJ14))," - ")</f>
        <v>5.6039173014145807E-2</v>
      </c>
      <c r="F14" s="1003">
        <f>IF(ISNUMBER((Datos!M14-Datos!W14)/Datos!W14),(Datos!M14-Datos!W14)/Datos!W14," - ")</f>
        <v>8.9393939393939401E-2</v>
      </c>
      <c r="G14" s="1004">
        <f>IF(ISNUMBER((Datos!N14-Datos!X14)/Datos!X14),(Datos!N14-Datos!X14)/Datos!X14," - ")</f>
        <v>0.24324324324324326</v>
      </c>
      <c r="H14" s="1004">
        <f>IF(ISNUMBER(((NºAsuntos!G14/NºAsuntos!E14)-Datos!BD14)/Datos!BD14),((NºAsuntos!G14/NºAsuntos!E14)-Datos!BD14)/Datos!BD14," - ")</f>
        <v>-8.2439465332303299E-2</v>
      </c>
      <c r="I14" s="1004">
        <f>IF(ISNUMBER(((NºAsuntos!I14/NºAsuntos!G14)-Datos!BE14)/Datos!BE14),((NºAsuntos!I14/NºAsuntos!G14)-Datos!BE14)/Datos!BE14," - ")</f>
        <v>0.1628069092412589</v>
      </c>
      <c r="J14" s="1004">
        <f>IF(ISNUMBER((('Resol  Asuntos'!D14/NºAsuntos!G14)-Datos!BF14)/Datos!BF14),(('Resol  Asuntos'!D14/NºAsuntos!G14)-Datos!BF14)/Datos!BF14," - ")</f>
        <v>0.2586524346720519</v>
      </c>
      <c r="K14" s="1004">
        <f>IF(ISNUMBER((((NºAsuntos!C14+NºAsuntos!E14)/NºAsuntos!G14)-Datos!BG14)/Datos!BG14),(((NºAsuntos!C14+NºAsuntos!E14)/NºAsuntos!G14)-Datos!BG14)/Datos!BG14," - ")</f>
        <v>0.11491516865800071</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-0.17188434695912264</v>
      </c>
      <c r="C16" s="473">
        <f>IF(ISNUMBER(
   IF(D_I="SI",(Datos!J16-Datos!T16)/Datos!T16,(Datos!J16+Datos!AD16-(Datos!T16+Datos!AL16))/(Datos!T16+Datos!AL16))
     ),IF(D_I="SI",(Datos!J16-Datos!T16)/Datos!T16,(Datos!J16+Datos!AD16-(Datos!T16+Datos!AL16))/(Datos!T16+Datos!AL16))," - ")</f>
        <v>0.33147373314737333</v>
      </c>
      <c r="D16" s="473">
        <f>IF(ISNUMBER(
   IF(D_I="SI",(Datos!K16-Datos!U16)/Datos!U16,(Datos!K16+Datos!AE16-(Datos!U16+Datos!AM16))/(Datos!U16+Datos!AM16))
     ),IF(D_I="SI",(Datos!K16-Datos!U16)/Datos!U16,(Datos!K16+Datos!AE16-(Datos!U16+Datos!AM16))/(Datos!U16+Datos!AM16))," - ")</f>
        <v>0.20426708810746741</v>
      </c>
      <c r="E16" s="473">
        <f>IF(ISNUMBER(
   IF(D_I="SI",(Datos!L16-Datos!V16)/Datos!V16,(Datos!L16+Datos!AF16-(Datos!V16+Datos!AN16))/(Datos!V16+Datos!AN16))
     ),IF(D_I="SI",(Datos!L16-Datos!V16)/Datos!V16,(Datos!L16+Datos!AF16-(Datos!V16+Datos!AN16))/(Datos!V16+Datos!AN16))," - ")</f>
        <v>6.8502661420967365E-2</v>
      </c>
      <c r="F16" s="473">
        <f>IF(ISNUMBER((Datos!M16-Datos!W16)/Datos!W16),(Datos!M16-Datos!W16)/Datos!W16," - ")</f>
        <v>0.271505376344086</v>
      </c>
      <c r="G16" s="474">
        <f>IF(ISNUMBER((Datos!N16-Datos!X16)/Datos!X16),(Datos!N16-Datos!X16)/Datos!X16," - ")</f>
        <v>0.16020671834625322</v>
      </c>
      <c r="H16" s="472">
        <f>IF(ISNUMBER(((NºAsuntos!G16/NºAsuntos!E16)-Datos!BD16)/Datos!BD16),((NºAsuntos!G16/NºAsuntos!E16)-Datos!BD16)/Datos!BD16," - ")</f>
        <v>-9.5538230963979648E-2</v>
      </c>
      <c r="I16" s="473">
        <f>IF(ISNUMBER(((NºAsuntos!I16/NºAsuntos!G16)-Datos!BE16)/Datos!BE16),((NºAsuntos!I16/NºAsuntos!G16)-Datos!BE16)/Datos!BE16," - ")</f>
        <v>-0.11273614302609303</v>
      </c>
      <c r="J16" s="478">
        <f>IF(ISNUMBER((('Resol  Asuntos'!D16/NºAsuntos!G16)-Datos!BF16)/Datos!BF16),(('Resol  Asuntos'!D16/NºAsuntos!G16)-Datos!BF16)/Datos!BF16," - ")</f>
        <v>5.5833368611181676E-2</v>
      </c>
      <c r="K16" s="479">
        <f>IF(ISNUMBER((((NºAsuntos!C16+NºAsuntos!E16)/NºAsuntos!G16)-Datos!BG16)/Datos!BG16),(((NºAsuntos!C16+NºAsuntos!E16)/NºAsuntos!G16)-Datos!BG16)/Datos!BG16," - ")</f>
        <v>-0.18688522023290208</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2.3026315789473683E-2</v>
      </c>
      <c r="C18" s="473">
        <f>IF(ISNUMBER(
   IF(D_I="SI",(Datos!J18-Datos!T18)/Datos!T18,(Datos!J18+Datos!AD18-(Datos!T18+Datos!AL18))/(Datos!T18+Datos!AL18))
     ),IF(D_I="SI",(Datos!J18-Datos!T18)/Datos!T18,(Datos!J18+Datos!AD18-(Datos!T18+Datos!AL18))/(Datos!T18+Datos!AL18))," - ")</f>
        <v>0.2196969696969697</v>
      </c>
      <c r="D18" s="473">
        <f>IF(ISNUMBER(
   IF(D_I="SI",(Datos!K18-Datos!U18)/Datos!U18,(Datos!K18+Datos!AE18-(Datos!U18+Datos!AM18))/(Datos!U18+Datos!AM18))
     ),IF(D_I="SI",(Datos!K18-Datos!U18)/Datos!U18,(Datos!K18+Datos!AE18-(Datos!U18+Datos!AM18))/(Datos!U18+Datos!AM18))," - ")</f>
        <v>9.6875000000000003E-2</v>
      </c>
      <c r="E18" s="473">
        <f>IF(ISNUMBER(
   IF(D_I="SI",(Datos!L18-Datos!V18)/Datos!V18,(Datos!L18+Datos!AF18-(Datos!V18+Datos!AN18))/(Datos!V18+Datos!AN18))
     ),IF(D_I="SI",(Datos!L18-Datos!V18)/Datos!V18,(Datos!L18+Datos!AF18-(Datos!V18+Datos!AN18))/(Datos!V18+Datos!AN18))," - ")</f>
        <v>0.14516129032258066</v>
      </c>
      <c r="F18" s="473">
        <f>IF(ISNUMBER((Datos!M18-Datos!W18)/Datos!W18),(Datos!M18-Datos!W18)/Datos!W18," - ")</f>
        <v>-0.15094339622641509</v>
      </c>
      <c r="G18" s="474">
        <f>IF(ISNUMBER((Datos!N18-Datos!X18)/Datos!X18),(Datos!N18-Datos!X18)/Datos!X18," - ")</f>
        <v>0.27972027972027974</v>
      </c>
      <c r="H18" s="472">
        <f>IF(ISNUMBER(((NºAsuntos!G18/NºAsuntos!E18)-Datos!BD18)/Datos!BD18),((NºAsuntos!G18/NºAsuntos!E18)-Datos!BD18)/Datos!BD18," - ")</f>
        <v>-0.10069875776397527</v>
      </c>
      <c r="I18" s="473">
        <f>IF(ISNUMBER(((NºAsuntos!I18/NºAsuntos!G18)-Datos!BE18)/Datos!BE18),((NºAsuntos!I18/NºAsuntos!G18)-Datos!BE18)/Datos!BE18," - ")</f>
        <v>4.4021689182979537E-2</v>
      </c>
      <c r="J18" s="478">
        <f>IF(ISNUMBER((('Resol  Asuntos'!D18/NºAsuntos!G18)-Datos!BF18)/Datos!BF18),(('Resol  Asuntos'!D18/NºAsuntos!G18)-Datos!BF18)/Datos!BF18," - ")</f>
        <v>-0.22593130140299955</v>
      </c>
      <c r="K18" s="479">
        <f>IF(ISNUMBER((((NºAsuntos!C18+NºAsuntos!E18)/NºAsuntos!G18)-Datos!BG18)/Datos!BG18),(((NºAsuntos!C18+NºAsuntos!E18)/NºAsuntos!G18)-Datos!BG18)/Datos!BG18," - ")</f>
        <v>1.6010593475382275E-2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-0.16074450084602368</v>
      </c>
      <c r="C20" s="1002">
        <f>IF(ISNUMBER(
   IF(Criterios!B14="SI",(Datos!J20-Datos!T20)/Datos!T20,(Datos!J20+Datos!AD20-(Datos!T20+Datos!AL20))/(Datos!T20+Datos!AL20))
     ),IF(Criterios!B14="SI",(Datos!J20-Datos!T20)/Datos!T20,(Datos!J20+Datos!AD20-(Datos!T20+Datos!AL20))/(Datos!T20+Datos!AL20))," - ")</f>
        <v>0.31925465838509315</v>
      </c>
      <c r="D20" s="1002">
        <f>IF(ISNUMBER(
   IF(Criterios!B14="SI",(Datos!K20-Datos!U20)/Datos!U20,(Datos!K20+Datos!AE20-(Datos!U20+Datos!AM20))/(Datos!U20+Datos!AM20))
     ),IF(Criterios!B14="SI",(Datos!K20-Datos!U20)/Datos!U20,(Datos!K20+Datos!AE20-(Datos!U20+Datos!AM20))/(Datos!U20+Datos!AM20))," - ")</f>
        <v>0.19221325850578744</v>
      </c>
      <c r="E20" s="1002">
        <f>IF(ISNUMBER(
   IF(Criterios!B14="SI",(Datos!L20-Datos!V20)/Datos!V20,(Datos!L20+Datos!AF20-(Datos!V20+Datos!AN20))/(Datos!V20+Datos!AN20))
     ),IF(Criterios!B14="SI",(Datos!L20-Datos!V20)/Datos!V20,(Datos!L20+Datos!AF20-(Datos!V20+Datos!AN20))/(Datos!V20+Datos!AN20))," - ")</f>
        <v>7.2663602538848765E-2</v>
      </c>
      <c r="F20" s="1003">
        <f>IF(ISNUMBER((Datos!M20-Datos!W20)/Datos!W20),(Datos!M20-Datos!W20)/Datos!W20," - ")</f>
        <v>0.21882352941176469</v>
      </c>
      <c r="G20" s="1004">
        <f>IF(ISNUMBER((Datos!N20-Datos!X20)/Datos!X20),(Datos!N20-Datos!X20)/Datos!X20," - ")</f>
        <v>0.17031342400946187</v>
      </c>
      <c r="H20" s="1004">
        <f>IF(ISNUMBER(((NºAsuntos!G20/NºAsuntos!E20)-Datos!BD20)/Datos!BD20),((NºAsuntos!G20/NºAsuntos!E20)-Datos!BD20)/Datos!BD20," - ")</f>
        <v>-9.6297859607195099E-2</v>
      </c>
      <c r="I20" s="1004">
        <f>IF(ISNUMBER(((NºAsuntos!I20/NºAsuntos!G20)-Datos!BE20)/Datos!BE20),((NºAsuntos!I20/NºAsuntos!G20)-Datos!BE20)/Datos!BE20," - ")</f>
        <v>-0.10027539545800004</v>
      </c>
      <c r="J20" s="1004">
        <f>IF(ISNUMBER((('Resol  Asuntos'!D20/NºAsuntos!G20)-Datos!BF20)/Datos!BF20),(('Resol  Asuntos'!D20/NºAsuntos!G20)-Datos!BF20)/Datos!BF20," - ")</f>
        <v>2.23200595330806E-2</v>
      </c>
      <c r="K20" s="1004">
        <f>IF(ISNUMBER((((NºAsuntos!C20+NºAsuntos!E20)/NºAsuntos!G20)-Datos!BG20)/Datos!BG20),(((NºAsuntos!C20+NºAsuntos!E20)/NºAsuntos!G20)-Datos!BG20)/Datos!BG20," - ")</f>
        <v>-0.1703339479895401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-6.7457035198970686E-2</v>
      </c>
      <c r="C21" s="949">
        <f>IF(ISNUMBER(
   IF(J_V="SI",(Datos!J21-Datos!T21)/Datos!T21,(Datos!J21+Datos!Z21-(Datos!T21+Datos!AH21))/(Datos!T21+Datos!AH21))
     ),IF(J_V="SI",(Datos!J21-Datos!T21)/Datos!T21,(Datos!J21+Datos!Z21-(Datos!T21+Datos!AH21))/(Datos!T21+Datos!AH21))," - ")</f>
        <v>0.16034297963558414</v>
      </c>
      <c r="D21" s="949">
        <f>IF(ISNUMBER(
   IF(J_V="SI",(Datos!K21-Datos!U21)/Datos!U21,(Datos!K21+Datos!AA21-(Datos!U21+Datos!AI21))/(Datos!U21+Datos!AI21))
     ),IF(J_V="SI",(Datos!K21-Datos!U21)/Datos!U21,(Datos!K21+Datos!AA21-(Datos!U21+Datos!AI21))/(Datos!U21+Datos!AI21))," - ")</f>
        <v>6.5449601864439697E-2</v>
      </c>
      <c r="E21" s="949">
        <f>IF(ISNUMBER(
   IF(J_V="SI",(Datos!L21-Datos!V21)/Datos!V21,(Datos!L21+Datos!AB21-(Datos!V21+Datos!AJ21))/(Datos!V21+Datos!AJ21))
     ),IF(J_V="SI",(Datos!L21-Datos!V21)/Datos!V21,(Datos!L21+Datos!AB21-(Datos!V21+Datos!AJ21))/(Datos!V21+Datos!AJ21))," - ")</f>
        <v>6.3572349499156994E-2</v>
      </c>
      <c r="F21" s="950">
        <f>IF(ISNUMBER((Datos!M21-Datos!W21)/Datos!W21),(Datos!M21-Datos!W21)/Datos!W21," - ")</f>
        <v>0.1400921658986175</v>
      </c>
      <c r="G21" s="951">
        <f>IF(ISNUMBER((Datos!N21-Datos!X21)/Datos!X21),(Datos!N21-Datos!X21)/Datos!X21," - ")</f>
        <v>0.19008620689655173</v>
      </c>
      <c r="H21" s="952">
        <f>IF(ISNUMBER((Tasas!B21-Datos!BD21)/Datos!BD21),(Tasas!B21-Datos!BD21)/Datos!BD21," - ")</f>
        <v>-8.1780455810528119E-2</v>
      </c>
      <c r="I21" s="953">
        <f>IF(ISNUMBER((Tasas!C21-Datos!BE21)/Datos!BE21),(Tasas!C21-Datos!BE21)/Datos!BE21," - ")</f>
        <v>-1.7619344565877378E-3</v>
      </c>
      <c r="J21" s="954">
        <f>IF(ISNUMBER((Tasas!D21-Datos!BF21)/Datos!BF21),(Tasas!D21-Datos!BF21)/Datos!BF21," - ")</f>
        <v>0.10152961376240778</v>
      </c>
      <c r="K21" s="954">
        <f>IF(ISNUMBER((Tasas!E21-Datos!BG21)/Datos!BG21),(Tasas!E21-Datos!BG21)/Datos!BG21," - ")</f>
        <v>-6.0583859203214331E-2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6808WSmsiol6g85J/e2OAYBJsqrafeWsu3POq90+bvg0Qj9ZOLHmfrjqbT0sm16dapFrJ1JkMdNhBNuoamhFcw==" saltValue="uwhxnnXsz+uf17F5ZmV6H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ISLAS BALEARES</v>
      </c>
    </row>
    <row r="3" spans="1:7" ht="19.5">
      <c r="A3" s="453" t="s">
        <v>12</v>
      </c>
      <c r="B3" s="403" t="str">
        <f>Criterios!A10 &amp;"  "&amp;Criterios!B10</f>
        <v>Provincias  ILLES BALEARS</v>
      </c>
    </row>
    <row r="4" spans="1:7" ht="11.25" customHeight="1" thickBot="1">
      <c r="B4" s="403" t="str">
        <f>Criterios!A11 &amp;"  "&amp;Criterios!B11</f>
        <v>Resumenes por Partidos Judiciales  EIVISSA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0.94782608695652171</v>
      </c>
      <c r="C9" s="460">
        <f>IF(ISNUMBER(NºAsuntos!I9/NºAsuntos!G9),NºAsuntos!I9/NºAsuntos!G9," - ")</f>
        <v>2.7436021245774986</v>
      </c>
      <c r="D9" s="461">
        <f>IF(ISNUMBER('Resol  Asuntos'!D9/NºAsuntos!G9),'Resol  Asuntos'!D9/NºAsuntos!G9," - ")</f>
        <v>0.34572670207629164</v>
      </c>
      <c r="E9" s="462">
        <f>IF(ISNUMBER((NºAsuntos!C9+NºAsuntos!E9)/NºAsuntos!G9),(NºAsuntos!C9+NºAsuntos!E9)/NºAsuntos!G9," - ")</f>
        <v>3.7436021245774986</v>
      </c>
      <c r="G9" s="480"/>
    </row>
    <row r="10" spans="1:7">
      <c r="A10" s="414" t="str">
        <f>Datos!A10</f>
        <v>Jdos. Violencia contra la mujer</v>
      </c>
      <c r="B10" s="459">
        <f>IF(ISNUMBER(NºAsuntos!G10/NºAsuntos!E10),NºAsuntos!G10/NºAsuntos!E10," - ")</f>
        <v>0.38095238095238093</v>
      </c>
      <c r="C10" s="460">
        <f>IF(ISNUMBER(NºAsuntos!I10/NºAsuntos!G10),NºAsuntos!I10/NºAsuntos!G10," - ")</f>
        <v>8.8125</v>
      </c>
      <c r="D10" s="461">
        <f>IF(ISNUMBER('Resol  Asuntos'!D10/NºAsuntos!G10),'Resol  Asuntos'!D10/NºAsuntos!G10," - ")</f>
        <v>0.1875</v>
      </c>
      <c r="E10" s="462">
        <f>IF(ISNUMBER((NºAsuntos!C10+NºAsuntos!E10)/NºAsuntos!G10),(NºAsuntos!C10+NºAsuntos!E10)/NºAsuntos!G10," - ")</f>
        <v>9.8125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0.93713515940727432</v>
      </c>
      <c r="C14" s="1006">
        <f>IF(ISNUMBER(NºAsuntos!I14/NºAsuntos!G14),NºAsuntos!I14/NºAsuntos!G14," - ")</f>
        <v>2.7901293723047438</v>
      </c>
      <c r="D14" s="1007">
        <f>IF(ISNUMBER('Resol  Asuntos'!D14/NºAsuntos!G14),'Resol  Asuntos'!D14/NºAsuntos!G14," - ")</f>
        <v>0.34451365596550071</v>
      </c>
      <c r="E14" s="1008">
        <f>IF(ISNUMBER((NºAsuntos!C14+NºAsuntos!E14)/NºAsuntos!G14),(NºAsuntos!C14+NºAsuntos!E14)/NºAsuntos!G14," - ")</f>
        <v>3.7901293723047438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1.0642458100558658</v>
      </c>
      <c r="C16" s="460">
        <f>IF(ISNUMBER(NºAsuntos!I16/NºAsuntos!G16),NºAsuntos!I16/NºAsuntos!G16," - ")</f>
        <v>1.514763779527559</v>
      </c>
      <c r="D16" s="461">
        <f>IF(ISNUMBER('Resol  Asuntos'!D16/NºAsuntos!G16),'Resol  Asuntos'!D16/NºAsuntos!G16," - ")</f>
        <v>0.15518372703412073</v>
      </c>
      <c r="E16" s="462">
        <f>IF(ISNUMBER((NºAsuntos!C16+NºAsuntos!E16)/NºAsuntos!G16),(NºAsuntos!C16+NºAsuntos!E16)/NºAsuntos!G16," - ")</f>
        <v>2.3021653543307088</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1.0900621118012421</v>
      </c>
      <c r="C18" s="460">
        <f>IF(ISNUMBER(NºAsuntos!I18/NºAsuntos!G18),NºAsuntos!I18/NºAsuntos!G18," - ")</f>
        <v>0.80911680911680917</v>
      </c>
      <c r="D18" s="461">
        <f>IF(ISNUMBER('Resol  Asuntos'!D18/NºAsuntos!G18),'Resol  Asuntos'!D18/NºAsuntos!G18," - ")</f>
        <v>0.12820512820512819</v>
      </c>
      <c r="E18" s="462">
        <f>IF(ISNUMBER((NºAsuntos!C18+NºAsuntos!E18)/NºAsuntos!G18),(NºAsuntos!C18+NºAsuntos!E18)/NºAsuntos!G18," - ")</f>
        <v>1.8034188034188035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1.0668549905838041</v>
      </c>
      <c r="C20" s="1006">
        <f>IF(ISNUMBER(NºAsuntos!I20/NºAsuntos!G20),NºAsuntos!I20/NºAsuntos!G20," - ")</f>
        <v>1.4418946749043837</v>
      </c>
      <c r="D20" s="1009">
        <f>IF(ISNUMBER('Resol  Asuntos'!D20/NºAsuntos!G20),'Resol  Asuntos'!D20/NºAsuntos!G20," - ")</f>
        <v>0.15239776404824948</v>
      </c>
      <c r="E20" s="1008">
        <f>IF(ISNUMBER((NºAsuntos!C20+NºAsuntos!E20)/NºAsuntos!G20),(NºAsuntos!C20+NºAsuntos!E20)/NºAsuntos!G20," - ")</f>
        <v>2.2506619593998236</v>
      </c>
      <c r="G20" s="480"/>
    </row>
    <row r="21" spans="1:7" ht="15.75" customHeight="1" thickTop="1" thickBot="1">
      <c r="A21" s="940" t="str">
        <f>Datos!A21</f>
        <v>TOTAL JURISDICCIONES</v>
      </c>
      <c r="B21" s="955">
        <f>IF(ISNUMBER(NºAsuntos!G21/NºAsuntos!E21),NºAsuntos!G21/NºAsuntos!E21," - ")</f>
        <v>1.0134860520968041</v>
      </c>
      <c r="C21" s="956">
        <f>IF(ISNUMBER(NºAsuntos!I21/NºAsuntos!G21),NºAsuntos!I21/NºAsuntos!G21," - ")</f>
        <v>1.9547940211447321</v>
      </c>
      <c r="D21" s="957">
        <f>IF(ISNUMBER('Resol  Asuntos'!D21/NºAsuntos!G21),'Resol  Asuntos'!D21/NºAsuntos!G21," - ")</f>
        <v>0.22548304775792927</v>
      </c>
      <c r="E21" s="958">
        <f>IF(ISNUMBER((NºAsuntos!C21+NºAsuntos!E21)/NºAsuntos!G21),(NºAsuntos!C21+NºAsuntos!E21)/NºAsuntos!G21," - ")</f>
        <v>2.836310608822457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mVij5ztXJcX1NGnfhJaAAud+NUN1Qazv5Zq3abLBP/D3xjG6ljGuKAtLsZ1JBmhk+VE5rmEGX2ziqLkMzdbhIA==" saltValue="v11n7Ab9+8EYZwUZl5/Jo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ISLAS BALEARES</v>
      </c>
      <c r="G2" s="340"/>
      <c r="H2" s="339"/>
      <c r="I2" s="339"/>
      <c r="J2" s="339"/>
      <c r="K2" s="339"/>
      <c r="L2" s="339" t="str">
        <f>Criterios!A10 &amp;"  "&amp;Criterios!B10</f>
        <v>Provincias  ILLES BALEARS</v>
      </c>
      <c r="N2" s="339" t="str">
        <f>Criterios!A11 &amp;"  "&amp;Criterios!B11</f>
        <v>Resumenes por Partidos Judiciales  EIVISSA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5</v>
      </c>
      <c r="B9" s="182" t="s">
        <v>273</v>
      </c>
      <c r="C9" s="165" t="str">
        <f>Datos!A9</f>
        <v xml:space="preserve">Jdos. 1ª Instancia   </v>
      </c>
      <c r="D9" s="165"/>
      <c r="E9" s="1205">
        <f>IF(ISNUMBER(Datos!AQ9),Datos!AQ9," - ")</f>
        <v>5</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527</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219</v>
      </c>
      <c r="Y9" s="344">
        <f>SUM(W9:X9)</f>
        <v>219</v>
      </c>
      <c r="Z9" s="345" t="str">
        <f>IF(ISNUMBER(Datos!CC9),Datos!CC9," - ")</f>
        <v xml:space="preserve"> - </v>
      </c>
      <c r="AA9" s="342" t="str">
        <f>IF(ISNUMBER(IF(J_V="SI",Datos!L9,Datos!L9+Datos!AB9)-IF(Monitorios="SI",Datos!CD9,0)),
                          IF(J_V="SI",Datos!L9,Datos!L9+Datos!AB9)-IF(Monitorios="SI",Datos!CD9,0),
                          " - ")</f>
        <v xml:space="preserve"> - </v>
      </c>
      <c r="AB9" s="344">
        <f>IF(ISNUMBER(Datos!R9),Datos!R9," - ")</f>
        <v>6492</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716</v>
      </c>
      <c r="AJ9" s="234" t="str">
        <f>IF(ISNUMBER(Datos!BW9),Datos!BW9," - ")</f>
        <v xml:space="preserve"> - </v>
      </c>
      <c r="AK9" s="233" t="str">
        <f>IF(ISNUMBER(Datos!BX9),Datos!BX9," - ")</f>
        <v xml:space="preserve"> - </v>
      </c>
      <c r="AL9" s="248">
        <f>IF(ISNUMBER(NºAsuntos!G9/NºAsuntos!E9),NºAsuntos!G9/NºAsuntos!E9," - ")</f>
        <v>0.94782608695652171</v>
      </c>
      <c r="AM9" s="265">
        <f>IF(ISNUMBER(((NºAsuntos!I9/NºAsuntos!G9)*11)/factor_trimestre),((NºAsuntos!I9/NºAsuntos!G9)*11)/factor_trimestre," - ")</f>
        <v>8.2308063737324968</v>
      </c>
      <c r="AN9" s="249">
        <f>IF(ISNUMBER('Resol  Asuntos'!D9/NºAsuntos!G9),'Resol  Asuntos'!D9/NºAsuntos!G9," - ")</f>
        <v>0.34572670207629164</v>
      </c>
      <c r="AO9" s="250">
        <f>IF(ISNUMBER((NºAsuntos!C9+NºAsuntos!E9)/NºAsuntos!G9),(NºAsuntos!C9+NºAsuntos!E9)/NºAsuntos!G9," - ")</f>
        <v>3.7436021245774986</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115</v>
      </c>
      <c r="G10" s="343">
        <f>IF(ISNUMBER(Datos!I10),Datos!I10," - ")</f>
        <v>115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3</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16</v>
      </c>
      <c r="X10" s="231">
        <f>IF(ISNUMBER(Datos!Q10),Datos!Q10," - ")</f>
        <v>1</v>
      </c>
      <c r="Y10" s="344">
        <f t="shared" ref="Y10:Y13" si="0">SUM(W10:X10)</f>
        <v>17</v>
      </c>
      <c r="Z10" s="345" t="str">
        <f>IF(ISNUMBER(Datos!CC10),Datos!CC10," - ")</f>
        <v xml:space="preserve"> - </v>
      </c>
      <c r="AA10" s="342">
        <f>IF(ISNUMBER(Datos!L10),Datos!L10,"-")</f>
        <v>141</v>
      </c>
      <c r="AB10" s="344">
        <f>IF(ISNUMBER(Datos!R10),Datos!R10," - ")</f>
        <v>25</v>
      </c>
      <c r="AC10" s="344">
        <f t="shared" ref="AC10:AC13" si="1">IF(ISNUMBER(AA10+AB10),AA10+AB10," - ")</f>
        <v>166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3</v>
      </c>
      <c r="AJ10" s="236" t="str">
        <f>IF(ISNUMBER(Datos!BW10),Datos!BW10," - ")</f>
        <v xml:space="preserve"> - </v>
      </c>
      <c r="AK10" s="237" t="str">
        <f>IF(ISNUMBER(Datos!BX10),Datos!BX10," - ")</f>
        <v xml:space="preserve"> - </v>
      </c>
      <c r="AL10" s="248">
        <f>IF(ISNUMBER(NºAsuntos!G10/NºAsuntos!E10),NºAsuntos!G10/NºAsuntos!E10," - ")</f>
        <v>0.38095238095238093</v>
      </c>
      <c r="AM10" s="265">
        <f>IF(ISNUMBER(((NºAsuntos!I10/NºAsuntos!G10)*11)/factor_trimestre),((NºAsuntos!I10/NºAsuntos!G10)*11)/factor_trimestre," - ")</f>
        <v>26.4375</v>
      </c>
      <c r="AN10" s="249">
        <f>IF(ISNUMBER('Resol  Asuntos'!D10/NºAsuntos!G10),'Resol  Asuntos'!D10/NºAsuntos!G10," - ")</f>
        <v>0.1875</v>
      </c>
      <c r="AO10" s="250">
        <f>IF(ISNUMBER((NºAsuntos!C10+NºAsuntos!E10)/NºAsuntos!G10),(NºAsuntos!C10+NºAsuntos!E10)/NºAsuntos!G10," - ")</f>
        <v>9.8125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6</v>
      </c>
      <c r="F14" s="1012">
        <f t="shared" si="5"/>
        <v>115</v>
      </c>
      <c r="G14" s="1013">
        <f t="shared" si="5"/>
        <v>115</v>
      </c>
      <c r="H14" s="1012">
        <f t="shared" si="5"/>
        <v>0</v>
      </c>
      <c r="I14" s="1014">
        <f t="shared" si="5"/>
        <v>0</v>
      </c>
      <c r="J14" s="1014">
        <f t="shared" si="5"/>
        <v>0</v>
      </c>
      <c r="K14" s="1014">
        <f t="shared" si="5"/>
        <v>0</v>
      </c>
      <c r="L14" s="1014">
        <f t="shared" si="5"/>
        <v>530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16</v>
      </c>
      <c r="X14" s="1014">
        <f t="shared" si="6"/>
        <v>220</v>
      </c>
      <c r="Y14" s="1015">
        <f t="shared" si="6"/>
        <v>236</v>
      </c>
      <c r="Z14" s="1015">
        <f t="shared" si="6"/>
        <v>0</v>
      </c>
      <c r="AA14" s="1015">
        <f t="shared" si="6"/>
        <v>141</v>
      </c>
      <c r="AB14" s="1015">
        <f t="shared" si="6"/>
        <v>6517</v>
      </c>
      <c r="AC14" s="1015">
        <f t="shared" si="6"/>
        <v>166</v>
      </c>
      <c r="AD14" s="1015">
        <f t="shared" si="6"/>
        <v>0</v>
      </c>
      <c r="AE14" s="1019">
        <f t="shared" si="6"/>
        <v>0</v>
      </c>
      <c r="AF14" s="1012">
        <f t="shared" si="6"/>
        <v>0</v>
      </c>
      <c r="AG14" s="1020">
        <f t="shared" si="6"/>
        <v>0</v>
      </c>
      <c r="AH14" s="1017">
        <f t="shared" si="6"/>
        <v>0</v>
      </c>
      <c r="AI14" s="1012">
        <f t="shared" si="6"/>
        <v>719</v>
      </c>
      <c r="AJ14" s="1014">
        <f t="shared" si="6"/>
        <v>0</v>
      </c>
      <c r="AK14" s="1017">
        <f>SUBTOTAL(9,AK9:AK13)</f>
        <v>0</v>
      </c>
      <c r="AL14" s="1021">
        <f>IF(ISNUMBER(NºAsuntos!G14/NºAsuntos!E14),NºAsuntos!G14/NºAsuntos!E14," - ")</f>
        <v>0.93713515940727432</v>
      </c>
      <c r="AM14" s="1021">
        <f>IF(ISNUMBER(((NºAsuntos!I14/NºAsuntos!G14)*11)/factor_trimestre),((NºAsuntos!I14/NºAsuntos!G14)*11)/factor_trimestre," - ")</f>
        <v>8.3703881169142313</v>
      </c>
      <c r="AN14" s="1022">
        <f>IF(ISNUMBER('Resol  Asuntos'!D14/NºAsuntos!G14),'Resol  Asuntos'!D14/NºAsuntos!G14," - ")</f>
        <v>0.34451365596550071</v>
      </c>
      <c r="AO14" s="1023">
        <f>IF(ISNUMBER((NºAsuntos!C14+NºAsuntos!E14)/NºAsuntos!G14),(NºAsuntos!C14+NºAsuntos!E14)/NºAsuntos!G14," - ")</f>
        <v>3.7901293723047438</v>
      </c>
      <c r="AP14" s="1024" t="str">
        <f t="shared" si="2"/>
        <v xml:space="preserve"> - </v>
      </c>
      <c r="AQ14" s="1024">
        <f>IF(ISNUMBER((H14-W14+K14)/(F14)),(H14-W14+K14)/(F14)," - ")</f>
        <v>-0.1391304347826087</v>
      </c>
      <c r="AR14" s="1025">
        <f>IF(ISNUMBER((Datos!P14-Datos!Q14)/(Datos!R14-Datos!P14+Datos!Q14)),(Datos!P14-Datos!Q14)/(Datos!R14-Datos!P14+Datos!Q14)," - ")</f>
        <v>4.994361205091026E-2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4</v>
      </c>
      <c r="B16" s="280" t="s">
        <v>437</v>
      </c>
      <c r="C16" s="165" t="str">
        <f>Datos!A16</f>
        <v xml:space="preserve">Jdos. Instrucción                               </v>
      </c>
      <c r="D16" s="165"/>
      <c r="E16" s="1205">
        <f>IF(ISNUMBER(Datos!AQ16),Datos!AQ16," - ")</f>
        <v>4</v>
      </c>
      <c r="F16" s="230">
        <f>IF(ISNUMBER(AA16+W16-Datos!J16-K16),AA16+W16-Datos!J16-K16," - ")</f>
        <v>4801</v>
      </c>
      <c r="G16" s="343">
        <f>IF(ISNUMBER(IF(D_I="SI",Datos!I16,Datos!I16+Datos!AC16)),IF(D_I="SI",Datos!I16,Datos!I16+Datos!AC16)," - ")</f>
        <v>4153</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82</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3048</v>
      </c>
      <c r="X16" s="231">
        <f>IF(ISNUMBER(Datos!Q16),Datos!Q16," - ")</f>
        <v>79</v>
      </c>
      <c r="Y16" s="344">
        <f>SUM(W16)</f>
        <v>3048</v>
      </c>
      <c r="Z16" s="345" t="str">
        <f>IF(ISNUMBER(Datos!CC16),Datos!CC16," - ")</f>
        <v xml:space="preserve"> - </v>
      </c>
      <c r="AA16" s="342">
        <f>IF(ISNUMBER(IF(D_I="SI",Datos!L16,Datos!L16+Datos!AF16)),IF(D_I="SI",Datos!L16,Datos!L16+Datos!AF16)," - ")</f>
        <v>4617</v>
      </c>
      <c r="AB16" s="344">
        <f>IF(ISNUMBER(Datos!R16),Datos!R16," - ")</f>
        <v>281</v>
      </c>
      <c r="AC16" s="344">
        <f t="shared" ref="AC16:AC19" si="8">IF(ISNUMBER(AA16+AB16),AA16+AB16," - ")</f>
        <v>4898</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473</v>
      </c>
      <c r="AJ16" s="236" t="str">
        <f>IF(ISNUMBER(Datos!BW16),Datos!BW16," - ")</f>
        <v xml:space="preserve"> - </v>
      </c>
      <c r="AK16" s="237" t="str">
        <f>IF(ISNUMBER(Datos!BX16),Datos!BX16," - ")</f>
        <v xml:space="preserve"> - </v>
      </c>
      <c r="AL16" s="248">
        <f>IF(ISNUMBER(NºAsuntos!G16/NºAsuntos!E16),NºAsuntos!G16/NºAsuntos!E16," - ")</f>
        <v>1.0642458100558658</v>
      </c>
      <c r="AM16" s="265">
        <f>IF(ISNUMBER(((NºAsuntos!I16/NºAsuntos!G16)*11)/factor_trimestre),((NºAsuntos!I16/NºAsuntos!G16)*11)/factor_trimestre," - ")</f>
        <v>4.5442913385826769</v>
      </c>
      <c r="AN16" s="249">
        <f>IF(ISNUMBER('Resol  Asuntos'!D16/NºAsuntos!G16),'Resol  Asuntos'!D16/NºAsuntos!G16," - ")</f>
        <v>0.15518372703412073</v>
      </c>
      <c r="AO16" s="250">
        <f>IF(ISNUMBER((NºAsuntos!C16+NºAsuntos!E16)/NºAsuntos!G16),(NºAsuntos!C16+NºAsuntos!E16)/NºAsuntos!G16," - ")</f>
        <v>2.3021653543307088</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311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351</v>
      </c>
      <c r="X18" s="231">
        <f>IF(ISNUMBER(Datos!Q18),Datos!Q18," - ")</f>
        <v>4</v>
      </c>
      <c r="Y18" s="344">
        <f t="shared" si="9"/>
        <v>355</v>
      </c>
      <c r="Z18" s="345" t="str">
        <f>IF(ISNUMBER(Datos!CC18),Datos!CC18," - ")</f>
        <v xml:space="preserve"> - </v>
      </c>
      <c r="AA18" s="342">
        <f>IF(ISNUMBER(Datos!L18),Datos!L18,"-")</f>
        <v>284</v>
      </c>
      <c r="AB18" s="344">
        <f>IF(ISNUMBER(Datos!R18),Datos!R18," - ")</f>
        <v>14</v>
      </c>
      <c r="AC18" s="344">
        <f t="shared" si="8"/>
        <v>298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45</v>
      </c>
      <c r="AJ18" s="236" t="str">
        <f>IF(ISNUMBER(Datos!BW18),Datos!BW18," - ")</f>
        <v xml:space="preserve"> - </v>
      </c>
      <c r="AK18" s="237" t="str">
        <f>IF(ISNUMBER(Datos!BX18),Datos!BX18," - ")</f>
        <v xml:space="preserve"> - </v>
      </c>
      <c r="AL18" s="248">
        <f>IF(ISNUMBER(NºAsuntos!G18/NºAsuntos!E18),NºAsuntos!G18/NºAsuntos!E18," - ")</f>
        <v>1.0900621118012421</v>
      </c>
      <c r="AM18" s="265">
        <f>IF(ISNUMBER(((NºAsuntos!I18/NºAsuntos!G18)*11)/factor_trimestre),((NºAsuntos!I18/NºAsuntos!G18)*11)/factor_trimestre," - ")</f>
        <v>2.4273504273504272</v>
      </c>
      <c r="AN18" s="249">
        <f>IF(ISNUMBER('Resol  Asuntos'!D18/NºAsuntos!G18),'Resol  Asuntos'!D18/NºAsuntos!G18," - ")</f>
        <v>0.12820512820512819</v>
      </c>
      <c r="AO18" s="250">
        <f>IF(ISNUMBER((NºAsuntos!C18+NºAsuntos!E18)/NºAsuntos!G18),(NºAsuntos!C18+NºAsuntos!E18)/NºAsuntos!G18," - ")</f>
        <v>1.8034188034188035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4801</v>
      </c>
      <c r="G20" s="1013">
        <f>SUBTOTAL(9,G16:G19)</f>
        <v>4464</v>
      </c>
      <c r="H20" s="1012">
        <f t="shared" ref="H20:O20" si="12">SUBTOTAL(9,H15:H19)</f>
        <v>0</v>
      </c>
      <c r="I20" s="1014">
        <f t="shared" si="12"/>
        <v>0</v>
      </c>
      <c r="J20" s="1014">
        <f t="shared" si="12"/>
        <v>0</v>
      </c>
      <c r="K20" s="1014">
        <f t="shared" si="12"/>
        <v>0</v>
      </c>
      <c r="L20" s="1014">
        <f t="shared" si="12"/>
        <v>93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3399</v>
      </c>
      <c r="X20" s="1014">
        <f t="shared" si="13"/>
        <v>83</v>
      </c>
      <c r="Y20" s="1015">
        <f t="shared" si="13"/>
        <v>3403</v>
      </c>
      <c r="Z20" s="1015">
        <f t="shared" si="13"/>
        <v>0</v>
      </c>
      <c r="AA20" s="1015">
        <f t="shared" si="13"/>
        <v>4901</v>
      </c>
      <c r="AB20" s="1015">
        <f t="shared" si="13"/>
        <v>295</v>
      </c>
      <c r="AC20" s="1015">
        <f t="shared" si="13"/>
        <v>5196</v>
      </c>
      <c r="AD20" s="1015">
        <f t="shared" si="13"/>
        <v>0</v>
      </c>
      <c r="AE20" s="1019">
        <f t="shared" si="13"/>
        <v>0</v>
      </c>
      <c r="AF20" s="1012">
        <f t="shared" si="13"/>
        <v>0</v>
      </c>
      <c r="AG20" s="1020">
        <f t="shared" si="13"/>
        <v>0</v>
      </c>
      <c r="AH20" s="1017">
        <f t="shared" si="13"/>
        <v>0</v>
      </c>
      <c r="AI20" s="1012">
        <f t="shared" si="13"/>
        <v>518</v>
      </c>
      <c r="AJ20" s="1014">
        <f t="shared" si="13"/>
        <v>0</v>
      </c>
      <c r="AK20" s="1017">
        <f t="shared" si="13"/>
        <v>0</v>
      </c>
      <c r="AL20" s="1021">
        <f>IF(ISNUMBER(NºAsuntos!G20/NºAsuntos!E20),NºAsuntos!G20/NºAsuntos!E20," - ")</f>
        <v>1.0668549905838041</v>
      </c>
      <c r="AM20" s="1021">
        <f>IF(ISNUMBER(((NºAsuntos!I20/NºAsuntos!G20)*11)/factor_trimestre),((NºAsuntos!I20/NºAsuntos!G20)*11)/factor_trimestre," - ")</f>
        <v>4.3256840247131514</v>
      </c>
      <c r="AN20" s="1022">
        <f>IF(ISNUMBER('Resol  Asuntos'!D20/NºAsuntos!G20),'Resol  Asuntos'!D20/NºAsuntos!G20," - ")</f>
        <v>0.15239776404824948</v>
      </c>
      <c r="AO20" s="1023">
        <f>IF(ISNUMBER((NºAsuntos!C20+NºAsuntos!E20)/NºAsuntos!G20),(NºAsuntos!C20+NºAsuntos!E20)/NºAsuntos!G20," - ")</f>
        <v>2.2506619593998236</v>
      </c>
      <c r="AP20" s="1024" t="str">
        <f t="shared" si="2"/>
        <v xml:space="preserve"> - </v>
      </c>
      <c r="AQ20" s="1024">
        <f>IF(ISNUMBER((H20-W20+K20)/(F20)),(H20-W20+K20)/(F20)," - ")</f>
        <v>-0.70797750468652365</v>
      </c>
      <c r="AR20" s="1025">
        <f>IF(ISNUMBER((Datos!P20-Datos!Q20)/(Datos!R20-Datos!P20+Datos!Q20)),(Datos!P20-Datos!Q20)/(Datos!R20-Datos!P20+Datos!Q20)," - ")</f>
        <v>3.5087719298245612E-2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11</v>
      </c>
      <c r="F21" s="967">
        <f t="shared" si="15"/>
        <v>4916</v>
      </c>
      <c r="G21" s="968">
        <f t="shared" si="15"/>
        <v>4579</v>
      </c>
      <c r="H21" s="967">
        <f t="shared" si="15"/>
        <v>0</v>
      </c>
      <c r="I21" s="969">
        <f t="shared" si="15"/>
        <v>0</v>
      </c>
      <c r="J21" s="969">
        <f t="shared" si="15"/>
        <v>0</v>
      </c>
      <c r="K21" s="1028">
        <f t="shared" si="15"/>
        <v>0</v>
      </c>
      <c r="L21" s="969">
        <f t="shared" si="15"/>
        <v>623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3415</v>
      </c>
      <c r="X21" s="968">
        <f t="shared" si="16"/>
        <v>303</v>
      </c>
      <c r="Y21" s="975">
        <f t="shared" si="16"/>
        <v>3639</v>
      </c>
      <c r="Z21" s="975">
        <f t="shared" si="16"/>
        <v>0</v>
      </c>
      <c r="AA21" s="975">
        <f t="shared" si="16"/>
        <v>5042</v>
      </c>
      <c r="AB21" s="975">
        <f t="shared" si="16"/>
        <v>6812</v>
      </c>
      <c r="AC21" s="975">
        <f t="shared" si="16"/>
        <v>5362</v>
      </c>
      <c r="AD21" s="975">
        <f t="shared" si="16"/>
        <v>0</v>
      </c>
      <c r="AE21" s="977">
        <f t="shared" si="16"/>
        <v>0</v>
      </c>
      <c r="AF21" s="978">
        <f t="shared" si="16"/>
        <v>0</v>
      </c>
      <c r="AG21" s="979">
        <f t="shared" si="16"/>
        <v>0</v>
      </c>
      <c r="AH21" s="977">
        <f t="shared" si="16"/>
        <v>0</v>
      </c>
      <c r="AI21" s="967">
        <f t="shared" si="16"/>
        <v>1237</v>
      </c>
      <c r="AJ21" s="967">
        <f t="shared" si="16"/>
        <v>0</v>
      </c>
      <c r="AK21" s="977">
        <f t="shared" si="16"/>
        <v>0</v>
      </c>
      <c r="AL21" s="1031">
        <f>IF(ISNUMBER(NºAsuntos!G21/NºAsuntos!E21),NºAsuntos!G21/NºAsuntos!E21," - ")</f>
        <v>1.0134860520968041</v>
      </c>
      <c r="AM21" s="1032">
        <f>IF(ISNUMBER(((NºAsuntos!I21/NºAsuntos!G21)*11)/factor_trimestre),((NºAsuntos!I21/NºAsuntos!G21)*11)/factor_trimestre," - ")</f>
        <v>5.8643820634341965</v>
      </c>
      <c r="AN21" s="1032">
        <f>IF(ISNUMBER('Resol  Asuntos'!D21/NºAsuntos!G21),'Resol  Asuntos'!D21/NºAsuntos!G21," - ")</f>
        <v>0.22548304775792927</v>
      </c>
      <c r="AO21" s="1033">
        <f>IF(ISNUMBER((NºAsuntos!C21+NºAsuntos!E21)/NºAsuntos!G21),(NºAsuntos!C21+NºAsuntos!E21)/NºAsuntos!G21," - ")</f>
        <v>2.836310608822457</v>
      </c>
      <c r="AP21" s="1034" t="str">
        <f t="shared" si="2"/>
        <v xml:space="preserve"> - </v>
      </c>
      <c r="AQ21" s="1035">
        <f>IF(OR(ISNUMBER(FIND("01",Criterios!A8,1)),ISNUMBER(FIND("02",Criterios!A8,1)),ISNUMBER(FIND("03",Criterios!A8,1)),ISNUMBER(FIND("04",Criterios!A8,1))),(I21-W21+K21)/(F21-K21),(H21-W21+K21)/(F21-K21))</f>
        <v>-0.69467046379170061</v>
      </c>
      <c r="AR21" s="1036">
        <f>IF(ISNUMBER((Datos!P21-Datos!Q21)/(Datos!R21-Datos!P21+Datos!Q21)),(Datos!P21-Datos!Q21)/(Datos!R21-Datos!P21+Datos!Q21)," - ")</f>
        <v>4.9291435613062227E-2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1831.6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2.4494897427831779</v>
      </c>
      <c r="F23" s="257">
        <f>IF(ISNUMBER(STDEV(F8:F20)),STDEV(F8:F20),"-")</f>
        <v>2705.4633614225863</v>
      </c>
      <c r="G23" s="258">
        <f>IF(ISNUMBER(STDEV(G8:G20)),STDEV(G8:G20),"-")</f>
        <v>2265.1756664771056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1705.6844667171006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317.36141332346421</v>
      </c>
      <c r="AJ23" s="257">
        <f t="shared" si="20"/>
        <v>0</v>
      </c>
      <c r="AK23" s="259">
        <f t="shared" si="20"/>
        <v>0</v>
      </c>
      <c r="AL23" s="254">
        <f t="shared" si="20"/>
        <v>0.26935253672962178</v>
      </c>
      <c r="AM23" s="255">
        <f t="shared" si="20"/>
        <v>8.8310582588220043</v>
      </c>
      <c r="AN23" s="255">
        <f t="shared" si="20"/>
        <v>9.9556648029645464E-2</v>
      </c>
      <c r="AO23" s="256">
        <f t="shared" si="20"/>
        <v>2.9882430810326737</v>
      </c>
      <c r="AP23" s="296" t="str">
        <f t="shared" si="20"/>
        <v>-</v>
      </c>
      <c r="AQ23" s="297">
        <f t="shared" si="20"/>
        <v>0.40223562058715623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Z18/Y3+foenK1rY6nMuw5apLLdt4fjAzXC1tPHs+dBigD/5cKnupXy4AECOcPVTdU04vjA5kyN+9rPr95FvLsA==" saltValue="lrfMzXLObCeP1EFdy39u+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ISLAS BALEARES</v>
      </c>
      <c r="E2" s="268"/>
    </row>
    <row r="3" spans="2:20" ht="17.25" customHeight="1">
      <c r="C3" s="272"/>
      <c r="D3" s="267" t="str">
        <f>Criterios!A10 &amp;"  "&amp;Criterios!B10</f>
        <v>Provincias  ILLES BALEARS</v>
      </c>
      <c r="E3" s="268"/>
    </row>
    <row r="4" spans="2:20" ht="17.25" customHeight="1" thickBot="1">
      <c r="D4" s="267" t="str">
        <f>Criterios!A11 &amp;"  "&amp;Criterios!B11</f>
        <v>Resumenes por Partidos Judiciales  EIVISSA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9.480122324159021E-2</v>
      </c>
      <c r="I9" s="360">
        <f>IF(ISNUMBER((Tasas!C9-Datos!BE9)/Datos!BE9),(Tasas!C9-Datos!BE9)/Datos!BE9," - ")</f>
        <v>0.14813235761671545</v>
      </c>
      <c r="J9" s="359">
        <f>IF(ISNUMBER((Tasas!D9-Datos!BF9)/Datos!BF9),(Tasas!D9-Datos!BF9)/Datos!BF9," - ")</f>
        <v>0.26193020950479495</v>
      </c>
      <c r="K9" s="361">
        <f>IF(ISNUMBER((Tasas!E9-Datos!BG9)/Datos!BG9),(Tasas!E9-Datos!BG9)/Datos!BG9," - ")</f>
        <v>0.10443062159953707</v>
      </c>
      <c r="M9" t="e">
        <f>IF(Monitorios="SI",Datos!CE9,0)</f>
        <v>#REF!</v>
      </c>
      <c r="N9" t="e">
        <f>IF(Monitorios="SI",Datos!CF9,0)</f>
        <v>#REF!</v>
      </c>
      <c r="O9" t="e">
        <f>IF(Monitorios="SI",Datos!CG9,0)</f>
        <v>#REF!</v>
      </c>
      <c r="P9" t="e">
        <f>IF(Monitorios="SI",Datos!CH9,0)</f>
        <v>#REF!</v>
      </c>
      <c r="Q9">
        <f>IF(J_V="SI",0,Datos!AG9)</f>
        <v>228</v>
      </c>
      <c r="R9">
        <f>IF(J_V="SI",0,Datos!AH9)</f>
        <v>132</v>
      </c>
      <c r="S9">
        <f>IF(J_V="SI",0,Datos!AI9)</f>
        <v>170</v>
      </c>
      <c r="T9">
        <f>IF(J_V="SI",0,Datos!AJ9)</f>
        <v>190</v>
      </c>
    </row>
    <row r="10" spans="2:20" ht="14.25">
      <c r="B10" s="280" t="s">
        <v>273</v>
      </c>
      <c r="C10" s="7" t="str">
        <f>Datos!A10</f>
        <v>Jdos. Violencia contra la mujer</v>
      </c>
      <c r="D10" s="362">
        <f>IF(ISNUMBER((Datos!I10-Datos!S10)/Datos!S10),(Datos!I10-Datos!S10)/Datos!S10," - ")</f>
        <v>0.53333333333333333</v>
      </c>
      <c r="E10" s="358">
        <f>IF(ISNUMBER((Datos!J10-Datos!T10)/Datos!T10),(Datos!J10-Datos!T10)/Datos!T10," - ")</f>
        <v>0.44827586206896552</v>
      </c>
      <c r="F10" s="358">
        <f>IF(ISNUMBER((Datos!K10-Datos!U10)/Datos!U10),(Datos!K10-Datos!U10)/Datos!U10," - ")</f>
        <v>-0.33333333333333331</v>
      </c>
      <c r="G10" s="359">
        <f>IF(ISNUMBER((Datos!L10-Datos!V10)/Datos!V10),(Datos!L10-Datos!V10)/Datos!V10," - ")</f>
        <v>0.76249999999999996</v>
      </c>
      <c r="H10" s="235">
        <f>IF(ISNUMBER((Datos!M10-Datos!W10)/Datos!W10),(Datos!M10-Datos!W10)/Datos!W10," - ")</f>
        <v>-0.5</v>
      </c>
      <c r="I10" s="360">
        <f>IF(ISNUMBER((Tasas!C10-Datos!BE10)/Datos!BE10),(Tasas!C10-Datos!BE10)/Datos!BE10," - ")</f>
        <v>1.6437499999999998</v>
      </c>
      <c r="J10" s="359">
        <f>IF(ISNUMBER((Tasas!D10-Datos!BF10)/Datos!BF10),(Tasas!D10-Datos!BF10)/Datos!BF10," - ")</f>
        <v>-0.25</v>
      </c>
      <c r="K10" s="361">
        <f>IF(ISNUMBER((Tasas!E10-Datos!BG10)/Datos!BG10),(Tasas!E10-Datos!BG10)/Datos!BG10," - ")</f>
        <v>1.2644230769230771</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8.9393939393939401E-2</v>
      </c>
      <c r="I14" s="367">
        <f>IF(ISNUMBER((Tasas!C14-Datos!BE14)/Datos!BE14),(Tasas!C14-Datos!BE14)/Datos!BE14," - ")</f>
        <v>0.1628069092412589</v>
      </c>
      <c r="J14" s="365">
        <f>IF(ISNUMBER((Tasas!D14-Datos!BF14)/Datos!BF14),(Tasas!D14-Datos!BF14)/Datos!BF14," - ")</f>
        <v>0.2586524346720519</v>
      </c>
      <c r="K14" s="368">
        <f>IF(ISNUMBER((Tasas!E14-Datos!BG14)/Datos!BG14),(Tasas!E14-Datos!BG14)/Datos!BG14," - ")</f>
        <v>0.11491516865800071</v>
      </c>
      <c r="M14" t="e">
        <f>IF(Monitorios="SI",Datos!CE14,0)</f>
        <v>#REF!</v>
      </c>
      <c r="N14" t="e">
        <f>IF(Monitorios="SI",Datos!CF14,0)</f>
        <v>#REF!</v>
      </c>
      <c r="O14" t="e">
        <f>IF(Monitorios="SI",Datos!CG14,0)</f>
        <v>#REF!</v>
      </c>
      <c r="P14" t="e">
        <f>IF(Monitorios="SI",Datos!CH14,0)</f>
        <v>#REF!</v>
      </c>
      <c r="Q14">
        <f>IF(J_V="SI",0,Datos!AG14)</f>
        <v>228</v>
      </c>
      <c r="R14">
        <f>IF(J_V="SI",0,Datos!AH14)</f>
        <v>132</v>
      </c>
      <c r="S14">
        <f>IF(J_V="SI",0,Datos!AI14)</f>
        <v>170</v>
      </c>
      <c r="T14">
        <f>IF(J_V="SI",0,Datos!AJ14)</f>
        <v>190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-0.17188434695912264</v>
      </c>
      <c r="E16" s="358">
        <f>IF(ISNUMBER(
   IF(D_I="SI",(Datos!J16-Datos!T16)/Datos!T16,(Datos!J16+Datos!AD16-(Datos!T16+Datos!AL16))/(Datos!T16+Datos!AL16))
     ),IF(D_I="SI",(Datos!J16-Datos!T16)/Datos!T16,(Datos!J16+Datos!AD16-(Datos!T16+Datos!AL16))/(Datos!T16+Datos!AL16))," - ")</f>
        <v>0.33147373314737333</v>
      </c>
      <c r="F16" s="358">
        <f>IF(ISNUMBER(
   IF(D_I="SI",(Datos!K16-Datos!U16)/Datos!U16,(Datos!K16+Datos!AE16-(Datos!U16+Datos!AM16))/(Datos!U16+Datos!AM16))
     ),IF(D_I="SI",(Datos!K16-Datos!U16)/Datos!U16,(Datos!K16+Datos!AE16-(Datos!U16+Datos!AM16))/(Datos!U16+Datos!AM16))," - ")</f>
        <v>0.20426708810746741</v>
      </c>
      <c r="G16" s="359">
        <f>IF(ISNUMBER(
   IF(D_I="SI",(Datos!L16-Datos!V16)/Datos!V16,(Datos!L16+Datos!AF16-(Datos!V16+Datos!AN16))/(Datos!V16+Datos!AN16))
     ),IF(D_I="SI",(Datos!L16-Datos!V16)/Datos!V16,(Datos!L16+Datos!AF16-(Datos!V16+Datos!AN16))/(Datos!V16+Datos!AN16))," - ")</f>
        <v>6.8502661420967365E-2</v>
      </c>
      <c r="H16" s="235">
        <f>IF(ISNUMBER((Datos!M16-Datos!W16)/Datos!W16),(Datos!M16-Datos!W16)/Datos!W16," - ")</f>
        <v>0.271505376344086</v>
      </c>
      <c r="I16" s="360">
        <f>IF(ISNUMBER((Tasas!C16-Datos!BE16)/Datos!BE16),(Tasas!C16-Datos!BE16)/Datos!BE16," - ")</f>
        <v>-0.11273614302609303</v>
      </c>
      <c r="J16" s="359">
        <f>IF(ISNUMBER((Tasas!D16-Datos!BF16)/Datos!BF16),(Tasas!D16-Datos!BF16)/Datos!BF16," - ")</f>
        <v>5.5833368611181676E-2</v>
      </c>
      <c r="K16" s="361">
        <f>IF(ISNUMBER((Tasas!E16-Datos!BG16)/Datos!BG16),(Tasas!E16-Datos!BG16)/Datos!BG16," - ")</f>
        <v>-0.18688522023290208</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2.3026315789473683E-2</v>
      </c>
      <c r="E18" s="358">
        <f>IF(ISNUMBER(
   IF(D_I="SI",(Datos!J18-Datos!T18)/Datos!T18,(Datos!J18+Datos!AD18-(Datos!T18+Datos!AL18))/(Datos!T18+Datos!AL18))
     ),IF(D_I="SI",(Datos!J18-Datos!T18)/Datos!T18,(Datos!J18+Datos!AD18-(Datos!T18+Datos!AL18))/(Datos!T18+Datos!AL18))," - ")</f>
        <v>0.2196969696969697</v>
      </c>
      <c r="F18" s="358">
        <f>IF(ISNUMBER(
   IF(D_I="SI",(Datos!K18-Datos!U18)/Datos!U18,(Datos!K18+Datos!AE18-(Datos!U18+Datos!AM18))/(Datos!U18+Datos!AM18))
     ),IF(D_I="SI",(Datos!K18-Datos!U18)/Datos!U18,(Datos!K18+Datos!AE18-(Datos!U18+Datos!AM18))/(Datos!U18+Datos!AM18))," - ")</f>
        <v>9.6875000000000003E-2</v>
      </c>
      <c r="G18" s="359">
        <f>IF(ISNUMBER(
   IF(D_I="SI",(Datos!L18-Datos!V18)/Datos!V18,(Datos!L18+Datos!AF18-(Datos!V18+Datos!AN18))/(Datos!V18+Datos!AN18))
     ),IF(D_I="SI",(Datos!L18-Datos!V18)/Datos!V18,(Datos!L18+Datos!AF18-(Datos!V18+Datos!AN18))/(Datos!V18+Datos!AN18))," - ")</f>
        <v>0.14516129032258066</v>
      </c>
      <c r="H18" s="235">
        <f>IF(ISNUMBER((Datos!M18-Datos!W18)/Datos!W18),(Datos!M18-Datos!W18)/Datos!W18," - ")</f>
        <v>-0.15094339622641509</v>
      </c>
      <c r="I18" s="360">
        <f>IF(ISNUMBER((Tasas!C18-Datos!BE18)/Datos!BE18),(Tasas!C18-Datos!BE18)/Datos!BE18," - ")</f>
        <v>4.4021689182979537E-2</v>
      </c>
      <c r="J18" s="359">
        <f>IF(ISNUMBER((Tasas!D18-Datos!BF18)/Datos!BF18),(Tasas!D18-Datos!BF18)/Datos!BF18," - ")</f>
        <v>-0.22593130140299955</v>
      </c>
      <c r="K18" s="361">
        <f>IF(ISNUMBER((Tasas!E18-Datos!BG18)/Datos!BG18),(Tasas!E18-Datos!BG18)/Datos!BG18," - ")</f>
        <v>1.6010593475382275E-2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-0.16074450084602368</v>
      </c>
      <c r="E20" s="364">
        <f>IF(ISNUMBER(
   IF(D_I="SI",(Datos!J20-Datos!T20)/Datos!T20,(Datos!J20+Datos!AD20-(Datos!T20+Datos!AL20))/(Datos!T20+Datos!AL20))
     ),IF(D_I="SI",(Datos!J20-Datos!T20)/Datos!T20,(Datos!J20+Datos!AD20-(Datos!T20+Datos!AL20))/(Datos!T20+Datos!AL20))," - ")</f>
        <v>0.31925465838509315</v>
      </c>
      <c r="F20" s="364">
        <f>IF(ISNUMBER(
   IF(D_I="SI",(Datos!K20-Datos!U20)/Datos!U20,(Datos!K20+Datos!AE20-(Datos!U20+Datos!AM20))/(Datos!U20+Datos!AM20))
     ),IF(D_I="SI",(Datos!K20-Datos!U20)/Datos!U20,(Datos!K20+Datos!AE20-(Datos!U20+Datos!AM20))/(Datos!U20+Datos!AM20))," - ")</f>
        <v>0.19221325850578744</v>
      </c>
      <c r="G20" s="365">
        <f>IF(ISNUMBER(
   IF(D_I="SI",(Datos!L20-Datos!V20)/Datos!V20,(Datos!L20+Datos!AF20-(Datos!V20+Datos!AN20))/(Datos!V20+Datos!AN20))
     ),IF(D_I="SI",(Datos!L20-Datos!V20)/Datos!V20,(Datos!L20+Datos!AF20-(Datos!V20+Datos!AN20))/(Datos!V20+Datos!AN20))," - ")</f>
        <v>7.2663602538848765E-2</v>
      </c>
      <c r="H20" s="366">
        <f>IF(ISNUMBER((Datos!M20-Datos!W20)/Datos!W20),(Datos!M20-Datos!W20)/Datos!W20," - ")</f>
        <v>0.21882352941176469</v>
      </c>
      <c r="I20" s="367">
        <f>IF(ISNUMBER((Tasas!C20-Datos!BE20)/Datos!BE20),(Tasas!C20-Datos!BE20)/Datos!BE20," - ")</f>
        <v>-0.10027539545800004</v>
      </c>
      <c r="J20" s="365">
        <f>IF(ISNUMBER((Tasas!D20-Datos!BF20)/Datos!BF20),(Tasas!D20-Datos!BF20)/Datos!BF20," - ")</f>
        <v>2.23200595330806E-2</v>
      </c>
      <c r="K20" s="368">
        <f>IF(ISNUMBER((Tasas!E20-Datos!BG20)/Datos!BG20),(Tasas!E20-Datos!BG20)/Datos!BG20," - ")</f>
        <v>-0.1703339479895401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-6.7457035198970686E-2</v>
      </c>
      <c r="E21" s="373">
        <f>IF(ISNUMBER(
   IF(J_V="SI",(Datos!J21-Datos!T21)/Datos!T21,(Datos!J21+Datos!Z21-(Datos!T21+Datos!AH21))/(Datos!T21+Datos!AH21))
     ),IF(J_V="SI",(Datos!J21-Datos!T21)/Datos!T21,(Datos!J21+Datos!Z21-(Datos!T21+Datos!AH21))/(Datos!T21+Datos!AH21))," - ")</f>
        <v>0.16034297963558414</v>
      </c>
      <c r="F21" s="373">
        <f>IF(ISNUMBER(
   IF(J_V="SI",(Datos!K21-Datos!U21)/Datos!U21,(Datos!K21+Datos!AA21-(Datos!U21+Datos!AI21))/(Datos!U21+Datos!AI21))
     ),IF(J_V="SI",(Datos!K21-Datos!U21)/Datos!U21,(Datos!K21+Datos!AA21-(Datos!U21+Datos!AI21))/(Datos!U21+Datos!AI21))," - ")</f>
        <v>6.5449601864439697E-2</v>
      </c>
      <c r="G21" s="374">
        <f>IF(ISNUMBER(
   IF(J_V="SI",(Datos!L21-Datos!V21)/Datos!V21,(Datos!L21+Datos!AB21-(Datos!V21+Datos!AJ21))/(Datos!V21+Datos!AJ21))
     ),IF(J_V="SI",(Datos!L21-Datos!V21)/Datos!V21,(Datos!L21+Datos!AB21-(Datos!V21+Datos!AJ21))/(Datos!V21+Datos!AJ21))," - ")</f>
        <v>6.3572349499156994E-2</v>
      </c>
      <c r="H21" s="375">
        <f>IF(ISNUMBER((Datos!M21-Datos!W21)/Datos!W21),(Datos!M21-Datos!W21)/Datos!W21," - ")</f>
        <v>0.1400921658986175</v>
      </c>
      <c r="I21" s="372">
        <f>IF(ISNUMBER((Tasas!C21-Datos!BE21)/Datos!BE21),(Tasas!C21-Datos!BE21)/Datos!BE21," - ")</f>
        <v>-1.7619344565877378E-3</v>
      </c>
      <c r="J21" s="373">
        <f>IF(ISNUMBER((Tasas!D21-Datos!BF21)/Datos!BF21),(Tasas!D21-Datos!BF21)/Datos!BF21," - ")</f>
        <v>0.10152961376240778</v>
      </c>
      <c r="K21" s="374">
        <f>IF(ISNUMBER((Tasas!E21-Datos!BG21)/Datos!BG21),(Tasas!E21-Datos!BG21)/Datos!BG21," - ")</f>
        <v>-6.0583859203214331E-2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0.33057717761541539</v>
      </c>
      <c r="E23" s="283">
        <f t="shared" si="1"/>
        <v>9.3582673953335041E-2</v>
      </c>
      <c r="F23" s="283">
        <f t="shared" si="1"/>
        <v>0.25348576263890893</v>
      </c>
      <c r="G23" s="284">
        <f t="shared" si="1"/>
        <v>0.33538080560674971</v>
      </c>
      <c r="H23" s="290">
        <f t="shared" si="1"/>
        <v>0.28679912444688771</v>
      </c>
      <c r="I23" s="282">
        <f t="shared" si="1"/>
        <v>0.66986746668125419</v>
      </c>
      <c r="J23" s="283">
        <f t="shared" si="1"/>
        <v>0.2236763365734738</v>
      </c>
      <c r="K23" s="284">
        <f t="shared" si="1"/>
        <v>0.54212527021208801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3uWWASQb38xXVjvHxYq7FTU+vRh/s6WCD37FgbKji3MjHuHKf8FZkJoqi9LBINRf2e6vYTA4i3jK+rA96DhlFw==" saltValue="EtlGVQcfTg+DfvtTDz2Fq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2023-06-06T07:18:51Z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